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60" windowHeight="8820" firstSheet="9" activeTab="14"/>
  </bookViews>
  <sheets>
    <sheet name="Instructions Sheet" sheetId="1" r:id="rId1"/>
    <sheet name="Form 1" sheetId="2" r:id="rId2"/>
    <sheet name="General Information" sheetId="3" r:id="rId3"/>
    <sheet name="Form-Sb" sheetId="4" r:id="rId4"/>
    <sheet name="Base line Parameters" sheetId="5" r:id="rId5"/>
    <sheet name="Summary Sheet" sheetId="6" r:id="rId6"/>
    <sheet name="Annex Addl Eqp List-Env" sheetId="7" r:id="rId7"/>
    <sheet name="Annex Project Activites List" sheetId="8" r:id="rId8"/>
    <sheet name="NF-1 CU" sheetId="9" r:id="rId9"/>
    <sheet name="NF-2 Fuel Quality in CPP" sheetId="10" r:id="rId10"/>
    <sheet name="NF-3 Petcoke" sheetId="11" r:id="rId11"/>
    <sheet name="NF-4 PLF" sheetId="12" r:id="rId12"/>
    <sheet name="NF-5 Power Mix" sheetId="13" r:id="rId13"/>
    <sheet name="NF-6 Product Mix" sheetId="14" r:id="rId14"/>
    <sheet name="NF-7 Others" sheetId="15" r:id="rId15"/>
  </sheets>
  <definedNames>
    <definedName name="_xlfn.AVERAGEIF" hidden="1">#NAME?</definedName>
    <definedName name="_xlfn.IFERROR" hidden="1">#NAME?</definedName>
    <definedName name="_xlnm.Print_Area" localSheetId="3">'Form-Sb'!$A$1:$J$563</definedName>
    <definedName name="_xlnm.Print_Area" localSheetId="5">'Summary Sheet'!$A$1:$F$78</definedName>
    <definedName name="_xlnm.Print_Titles" localSheetId="7">'Annex Project Activites List'!$1:$5</definedName>
    <definedName name="_xlnm.Print_Titles" localSheetId="4">'Base line Parameters'!$2:$5</definedName>
    <definedName name="_xlnm.Print_Titles" localSheetId="3">'Form-Sb'!$1:$4</definedName>
    <definedName name="_xlnm.Print_Titles" localSheetId="0">'Instructions Sheet'!$1:$3</definedName>
    <definedName name="_xlnm.Print_Titles" localSheetId="8">'NF-1 CU'!$1:$5</definedName>
    <definedName name="_xlnm.Print_Titles" localSheetId="12">'NF-5 Power Mix'!$1:$4</definedName>
    <definedName name="_xlnm.Print_Titles" localSheetId="13">'NF-6 Product Mix'!$1:$4</definedName>
    <definedName name="_xlnm.Print_Titles" localSheetId="14">'NF-7 Others'!$1:$4</definedName>
    <definedName name="_xlnm.Print_Titles" localSheetId="5">'Summary Sheet'!$1:$5</definedName>
    <definedName name="Z_29403E45_A0DF_42C3_A079_0B7BA9F68AB3_.wvu.Cols" localSheetId="4" hidden="1">'Base line Parameters'!#REF!</definedName>
    <definedName name="Z_29403E45_A0DF_42C3_A079_0B7BA9F68AB3_.wvu.Cols" localSheetId="3" hidden="1">'Form-Sb'!#REF!</definedName>
    <definedName name="Z_29403E45_A0DF_42C3_A079_0B7BA9F68AB3_.wvu.Cols" localSheetId="2" hidden="1">'General Information'!#REF!</definedName>
    <definedName name="Z_29403E45_A0DF_42C3_A079_0B7BA9F68AB3_.wvu.Cols" localSheetId="0" hidden="1">'Instructions Sheet'!#REF!</definedName>
    <definedName name="Z_29403E45_A0DF_42C3_A079_0B7BA9F68AB3_.wvu.Cols" localSheetId="9" hidden="1">'NF-2 Fuel Quality in CPP'!#REF!</definedName>
    <definedName name="Z_29403E45_A0DF_42C3_A079_0B7BA9F68AB3_.wvu.Cols" localSheetId="10" hidden="1">'NF-3 Petcoke'!#REF!</definedName>
    <definedName name="Z_29403E45_A0DF_42C3_A079_0B7BA9F68AB3_.wvu.Cols" localSheetId="11" hidden="1">'NF-4 PLF'!#REF!</definedName>
    <definedName name="Z_29403E45_A0DF_42C3_A079_0B7BA9F68AB3_.wvu.Cols" localSheetId="12" hidden="1">'NF-5 Power Mix'!#REF!</definedName>
    <definedName name="Z_29403E45_A0DF_42C3_A079_0B7BA9F68AB3_.wvu.Cols" localSheetId="13" hidden="1">'NF-6 Product Mix'!#REF!</definedName>
    <definedName name="Z_29403E45_A0DF_42C3_A079_0B7BA9F68AB3_.wvu.Cols" localSheetId="14" hidden="1">'NF-7 Others'!#REF!</definedName>
    <definedName name="Z_29403E45_A0DF_42C3_A079_0B7BA9F68AB3_.wvu.Cols" localSheetId="5" hidden="1">'Summary Sheet'!#REF!</definedName>
    <definedName name="Z_29403E45_A0DF_42C3_A079_0B7BA9F68AB3_.wvu.PrintArea" localSheetId="5" hidden="1">'Summary Sheet'!$A$1:$F$78</definedName>
    <definedName name="Z_29403E45_A0DF_42C3_A079_0B7BA9F68AB3_.wvu.PrintTitles" localSheetId="3" hidden="1">'Form-Sb'!$1:$4</definedName>
    <definedName name="Z_29403E45_A0DF_42C3_A079_0B7BA9F68AB3_.wvu.Rows" localSheetId="4" hidden="1">'Base line Parameters'!#REF!,'Base line Parameters'!$73:$80</definedName>
    <definedName name="Z_29403E45_A0DF_42C3_A079_0B7BA9F68AB3_.wvu.Rows" localSheetId="3" hidden="1">'Form-Sb'!#REF!,'Form-Sb'!$564:$571</definedName>
    <definedName name="Z_29403E45_A0DF_42C3_A079_0B7BA9F68AB3_.wvu.Rows" localSheetId="2" hidden="1">'General Information'!#REF!</definedName>
    <definedName name="Z_29403E45_A0DF_42C3_A079_0B7BA9F68AB3_.wvu.Rows" localSheetId="0" hidden="1">'Instructions Sheet'!#REF!,'Instructions Sheet'!#REF!</definedName>
    <definedName name="Z_29403E45_A0DF_42C3_A079_0B7BA9F68AB3_.wvu.Rows" localSheetId="9" hidden="1">'NF-2 Fuel Quality in CPP'!#REF!</definedName>
    <definedName name="Z_29403E45_A0DF_42C3_A079_0B7BA9F68AB3_.wvu.Rows" localSheetId="10" hidden="1">'NF-3 Petcoke'!#REF!,'NF-3 Petcoke'!$17:$18</definedName>
    <definedName name="Z_29403E45_A0DF_42C3_A079_0B7BA9F68AB3_.wvu.Rows" localSheetId="11" hidden="1">'NF-4 PLF'!#REF!</definedName>
    <definedName name="Z_29403E45_A0DF_42C3_A079_0B7BA9F68AB3_.wvu.Rows" localSheetId="12" hidden="1">'NF-5 Power Mix'!#REF!</definedName>
    <definedName name="Z_29403E45_A0DF_42C3_A079_0B7BA9F68AB3_.wvu.Rows" localSheetId="13" hidden="1">'NF-6 Product Mix'!#REF!</definedName>
    <definedName name="Z_29403E45_A0DF_42C3_A079_0B7BA9F68AB3_.wvu.Rows" localSheetId="14" hidden="1">'NF-7 Others'!#REF!</definedName>
    <definedName name="Z_29403E45_A0DF_42C3_A079_0B7BA9F68AB3_.wvu.Rows" localSheetId="5" hidden="1">'Summary Sheet'!#REF!,'Summary Sheet'!$79:$127</definedName>
    <definedName name="Z_77B342DB_B591_4E57_ACF1_D8BAA59836A9_.wvu.Cols" localSheetId="4" hidden="1">'Base line Parameters'!#REF!</definedName>
    <definedName name="Z_77B342DB_B591_4E57_ACF1_D8BAA59836A9_.wvu.Cols" localSheetId="3" hidden="1">'Form-Sb'!#REF!</definedName>
    <definedName name="Z_77B342DB_B591_4E57_ACF1_D8BAA59836A9_.wvu.Cols" localSheetId="2" hidden="1">'General Information'!#REF!</definedName>
    <definedName name="Z_77B342DB_B591_4E57_ACF1_D8BAA59836A9_.wvu.Cols" localSheetId="0" hidden="1">'Instructions Sheet'!#REF!</definedName>
    <definedName name="Z_77B342DB_B591_4E57_ACF1_D8BAA59836A9_.wvu.Cols" localSheetId="9" hidden="1">'NF-2 Fuel Quality in CPP'!#REF!</definedName>
    <definedName name="Z_77B342DB_B591_4E57_ACF1_D8BAA59836A9_.wvu.Cols" localSheetId="10" hidden="1">'NF-3 Petcoke'!#REF!</definedName>
    <definedName name="Z_77B342DB_B591_4E57_ACF1_D8BAA59836A9_.wvu.Cols" localSheetId="11" hidden="1">'NF-4 PLF'!#REF!</definedName>
    <definedName name="Z_77B342DB_B591_4E57_ACF1_D8BAA59836A9_.wvu.Cols" localSheetId="12" hidden="1">'NF-5 Power Mix'!#REF!</definedName>
    <definedName name="Z_77B342DB_B591_4E57_ACF1_D8BAA59836A9_.wvu.Cols" localSheetId="13" hidden="1">'NF-6 Product Mix'!#REF!</definedName>
    <definedName name="Z_77B342DB_B591_4E57_ACF1_D8BAA59836A9_.wvu.Cols" localSheetId="14" hidden="1">'NF-7 Others'!#REF!</definedName>
    <definedName name="Z_77B342DB_B591_4E57_ACF1_D8BAA59836A9_.wvu.Cols" localSheetId="5" hidden="1">'Summary Sheet'!#REF!</definedName>
    <definedName name="Z_77B342DB_B591_4E57_ACF1_D8BAA59836A9_.wvu.PrintArea" localSheetId="5" hidden="1">'Summary Sheet'!$A$1:$F$78</definedName>
    <definedName name="Z_77B342DB_B591_4E57_ACF1_D8BAA59836A9_.wvu.PrintTitles" localSheetId="3" hidden="1">'Form-Sb'!$1:$4</definedName>
    <definedName name="Z_77B342DB_B591_4E57_ACF1_D8BAA59836A9_.wvu.Rows" localSheetId="4" hidden="1">'Base line Parameters'!#REF!,'Base line Parameters'!$73:$80</definedName>
    <definedName name="Z_77B342DB_B591_4E57_ACF1_D8BAA59836A9_.wvu.Rows" localSheetId="3" hidden="1">'Form-Sb'!#REF!,'Form-Sb'!$564:$571</definedName>
    <definedName name="Z_77B342DB_B591_4E57_ACF1_D8BAA59836A9_.wvu.Rows" localSheetId="2" hidden="1">'General Information'!#REF!</definedName>
    <definedName name="Z_77B342DB_B591_4E57_ACF1_D8BAA59836A9_.wvu.Rows" localSheetId="0" hidden="1">'Instructions Sheet'!#REF!,'Instructions Sheet'!#REF!</definedName>
    <definedName name="Z_77B342DB_B591_4E57_ACF1_D8BAA59836A9_.wvu.Rows" localSheetId="9" hidden="1">'NF-2 Fuel Quality in CPP'!#REF!</definedName>
    <definedName name="Z_77B342DB_B591_4E57_ACF1_D8BAA59836A9_.wvu.Rows" localSheetId="10" hidden="1">'NF-3 Petcoke'!#REF!,'NF-3 Petcoke'!$17:$18</definedName>
    <definedName name="Z_77B342DB_B591_4E57_ACF1_D8BAA59836A9_.wvu.Rows" localSheetId="11" hidden="1">'NF-4 PLF'!#REF!</definedName>
    <definedName name="Z_77B342DB_B591_4E57_ACF1_D8BAA59836A9_.wvu.Rows" localSheetId="12" hidden="1">'NF-5 Power Mix'!#REF!</definedName>
    <definedName name="Z_77B342DB_B591_4E57_ACF1_D8BAA59836A9_.wvu.Rows" localSheetId="13" hidden="1">'NF-6 Product Mix'!#REF!</definedName>
    <definedName name="Z_77B342DB_B591_4E57_ACF1_D8BAA59836A9_.wvu.Rows" localSheetId="14" hidden="1">'NF-7 Others'!#REF!</definedName>
    <definedName name="Z_77B342DB_B591_4E57_ACF1_D8BAA59836A9_.wvu.Rows" localSheetId="5" hidden="1">'Summary Sheet'!#REF!,'Summary Sheet'!$79:$127</definedName>
    <definedName name="Z_A3057831_32FB_4B2B_877E_DFBABAEE9A1D_.wvu.Cols" localSheetId="4" hidden="1">'Base line Parameters'!#REF!</definedName>
    <definedName name="Z_A3057831_32FB_4B2B_877E_DFBABAEE9A1D_.wvu.Cols" localSheetId="3" hidden="1">'Form-Sb'!#REF!</definedName>
    <definedName name="Z_A3057831_32FB_4B2B_877E_DFBABAEE9A1D_.wvu.Cols" localSheetId="2" hidden="1">'General Information'!#REF!</definedName>
    <definedName name="Z_A3057831_32FB_4B2B_877E_DFBABAEE9A1D_.wvu.Cols" localSheetId="0" hidden="1">'Instructions Sheet'!#REF!</definedName>
    <definedName name="Z_A3057831_32FB_4B2B_877E_DFBABAEE9A1D_.wvu.Cols" localSheetId="9" hidden="1">'NF-2 Fuel Quality in CPP'!#REF!</definedName>
    <definedName name="Z_A3057831_32FB_4B2B_877E_DFBABAEE9A1D_.wvu.Cols" localSheetId="10" hidden="1">'NF-3 Petcoke'!#REF!</definedName>
    <definedName name="Z_A3057831_32FB_4B2B_877E_DFBABAEE9A1D_.wvu.Cols" localSheetId="11" hidden="1">'NF-4 PLF'!#REF!</definedName>
    <definedName name="Z_A3057831_32FB_4B2B_877E_DFBABAEE9A1D_.wvu.Cols" localSheetId="12" hidden="1">'NF-5 Power Mix'!#REF!</definedName>
    <definedName name="Z_A3057831_32FB_4B2B_877E_DFBABAEE9A1D_.wvu.Cols" localSheetId="13" hidden="1">'NF-6 Product Mix'!#REF!</definedName>
    <definedName name="Z_A3057831_32FB_4B2B_877E_DFBABAEE9A1D_.wvu.Cols" localSheetId="14" hidden="1">'NF-7 Others'!#REF!</definedName>
    <definedName name="Z_A3057831_32FB_4B2B_877E_DFBABAEE9A1D_.wvu.Cols" localSheetId="5" hidden="1">'Summary Sheet'!#REF!</definedName>
    <definedName name="Z_A3057831_32FB_4B2B_877E_DFBABAEE9A1D_.wvu.PrintArea" localSheetId="5" hidden="1">'Summary Sheet'!$A$1:$F$78</definedName>
    <definedName name="Z_A3057831_32FB_4B2B_877E_DFBABAEE9A1D_.wvu.PrintTitles" localSheetId="3" hidden="1">'Form-Sb'!$1:$4</definedName>
    <definedName name="Z_A3057831_32FB_4B2B_877E_DFBABAEE9A1D_.wvu.Rows" localSheetId="4" hidden="1">'Base line Parameters'!#REF!,'Base line Parameters'!$73:$80</definedName>
    <definedName name="Z_A3057831_32FB_4B2B_877E_DFBABAEE9A1D_.wvu.Rows" localSheetId="3" hidden="1">'Form-Sb'!#REF!,'Form-Sb'!$564:$571</definedName>
    <definedName name="Z_A3057831_32FB_4B2B_877E_DFBABAEE9A1D_.wvu.Rows" localSheetId="2" hidden="1">'General Information'!#REF!</definedName>
    <definedName name="Z_A3057831_32FB_4B2B_877E_DFBABAEE9A1D_.wvu.Rows" localSheetId="0" hidden="1">'Instructions Sheet'!#REF!,'Instructions Sheet'!#REF!</definedName>
    <definedName name="Z_A3057831_32FB_4B2B_877E_DFBABAEE9A1D_.wvu.Rows" localSheetId="9" hidden="1">'NF-2 Fuel Quality in CPP'!#REF!</definedName>
    <definedName name="Z_A3057831_32FB_4B2B_877E_DFBABAEE9A1D_.wvu.Rows" localSheetId="10" hidden="1">'NF-3 Petcoke'!#REF!,'NF-3 Petcoke'!$17:$18</definedName>
    <definedName name="Z_A3057831_32FB_4B2B_877E_DFBABAEE9A1D_.wvu.Rows" localSheetId="11" hidden="1">'NF-4 PLF'!#REF!</definedName>
    <definedName name="Z_A3057831_32FB_4B2B_877E_DFBABAEE9A1D_.wvu.Rows" localSheetId="12" hidden="1">'NF-5 Power Mix'!#REF!</definedName>
    <definedName name="Z_A3057831_32FB_4B2B_877E_DFBABAEE9A1D_.wvu.Rows" localSheetId="13" hidden="1">'NF-6 Product Mix'!#REF!</definedName>
    <definedName name="Z_A3057831_32FB_4B2B_877E_DFBABAEE9A1D_.wvu.Rows" localSheetId="14" hidden="1">'NF-7 Others'!#REF!</definedName>
    <definedName name="Z_A3057831_32FB_4B2B_877E_DFBABAEE9A1D_.wvu.Rows" localSheetId="5" hidden="1">'Summary Sheet'!#REF!,'Summary Sheet'!$79:$127</definedName>
    <definedName name="Z_C99F6511_B640_4233_AF7C_A65562BCF81E_.wvu.PrintArea" localSheetId="5" hidden="1">'Summary Sheet'!$A$1:$F$78</definedName>
  </definedNames>
  <calcPr fullCalcOnLoad="1"/>
</workbook>
</file>

<file path=xl/comments5.xml><?xml version="1.0" encoding="utf-8"?>
<comments xmlns="http://schemas.openxmlformats.org/spreadsheetml/2006/main">
  <authors>
    <author>alok-mishra</author>
  </authors>
  <commentList>
    <comment ref="B31" authorId="0">
      <text>
        <r>
          <rPr>
            <b/>
            <sz val="9"/>
            <rFont val="Tahoma"/>
            <family val="2"/>
          </rPr>
          <t>alok-mishra:</t>
        </r>
        <r>
          <rPr>
            <sz val="9"/>
            <rFont val="Tahoma"/>
            <family val="2"/>
          </rPr>
          <t xml:space="preserve">
Data to be filled mannually for D1, D2 &amp; D3.</t>
        </r>
      </text>
    </comment>
  </commentList>
</comments>
</file>

<file path=xl/sharedStrings.xml><?xml version="1.0" encoding="utf-8"?>
<sst xmlns="http://schemas.openxmlformats.org/spreadsheetml/2006/main" count="4109" uniqueCount="1652">
  <si>
    <t>S. No</t>
  </si>
  <si>
    <t>Particulars</t>
  </si>
  <si>
    <t>Unit</t>
  </si>
  <si>
    <t>%</t>
  </si>
  <si>
    <t>Electricity Consumption and cost</t>
  </si>
  <si>
    <t>Production and capacity utilization details</t>
  </si>
  <si>
    <t>A</t>
  </si>
  <si>
    <t>B</t>
  </si>
  <si>
    <t>Through DG sets</t>
  </si>
  <si>
    <t>Through Gas turbine</t>
  </si>
  <si>
    <t xml:space="preserve">Solid Fuel Consumption </t>
  </si>
  <si>
    <t>Liquid Fuel Consumption</t>
  </si>
  <si>
    <t>Furnace Oil</t>
  </si>
  <si>
    <t>Low Sulphur Heavy Stock (LSHS)</t>
  </si>
  <si>
    <t>High Sulphur Heavy Stock (HSHS)</t>
  </si>
  <si>
    <t>High Speed Diesel (HSD)</t>
  </si>
  <si>
    <t>Light Diesel Oil (LDO)</t>
  </si>
  <si>
    <t>Gaseous Fuel</t>
  </si>
  <si>
    <t>Liquefied Petroleum Gas (LPG)</t>
  </si>
  <si>
    <t xml:space="preserve">Plant Connected Load </t>
  </si>
  <si>
    <t xml:space="preserve">Average Gross Heat Rate </t>
  </si>
  <si>
    <t xml:space="preserve">Auxilliary Power Consumption </t>
  </si>
  <si>
    <t xml:space="preserve">Design Heat Rate </t>
  </si>
  <si>
    <t xml:space="preserve">Gross calorific value </t>
  </si>
  <si>
    <t>kW</t>
  </si>
  <si>
    <t xml:space="preserve">Annual Generation </t>
  </si>
  <si>
    <t xml:space="preserve">Quantity purchased </t>
  </si>
  <si>
    <t>Quantity used for power generation</t>
  </si>
  <si>
    <t>Gross calorific value</t>
  </si>
  <si>
    <t>Average Gross calorific value as fired</t>
  </si>
  <si>
    <t>Quantity used for process heating</t>
  </si>
  <si>
    <t xml:space="preserve">Average Density </t>
  </si>
  <si>
    <t>Quantity purchased</t>
  </si>
  <si>
    <t>Average Density</t>
  </si>
  <si>
    <t xml:space="preserve">kVA </t>
  </si>
  <si>
    <t>C</t>
  </si>
  <si>
    <t>D</t>
  </si>
  <si>
    <t>D.1</t>
  </si>
  <si>
    <t>E</t>
  </si>
  <si>
    <t>E.1</t>
  </si>
  <si>
    <t>F</t>
  </si>
  <si>
    <t>F.1</t>
  </si>
  <si>
    <t>G</t>
  </si>
  <si>
    <t>(i)</t>
  </si>
  <si>
    <t>(ii)</t>
  </si>
  <si>
    <t>(iii)</t>
  </si>
  <si>
    <t>(iv)</t>
  </si>
  <si>
    <t>(v)</t>
  </si>
  <si>
    <t>(vi)</t>
  </si>
  <si>
    <t>(vii)</t>
  </si>
  <si>
    <t>(viii)</t>
  </si>
  <si>
    <t>C.2</t>
  </si>
  <si>
    <t>C.3</t>
  </si>
  <si>
    <t>D.2</t>
  </si>
  <si>
    <t>D.3</t>
  </si>
  <si>
    <t>E.2</t>
  </si>
  <si>
    <t>F.2</t>
  </si>
  <si>
    <t xml:space="preserve">Through Steam turbine/ generator   </t>
  </si>
  <si>
    <t>Million SCM</t>
  </si>
  <si>
    <t>MW</t>
  </si>
  <si>
    <t>Million kCal</t>
  </si>
  <si>
    <t xml:space="preserve">Own Generation </t>
  </si>
  <si>
    <t>Coal (Indian)</t>
  </si>
  <si>
    <t>A1</t>
  </si>
  <si>
    <t>A2</t>
  </si>
  <si>
    <t>A3</t>
  </si>
  <si>
    <t>kg/ltr</t>
  </si>
  <si>
    <t>Total Generation of Electricity</t>
  </si>
  <si>
    <t>Electricity Supplied to Grid/others</t>
  </si>
  <si>
    <t>Total Quantity Consumed</t>
  </si>
  <si>
    <t>Quantity used power generation</t>
  </si>
  <si>
    <t>Total HSHS Consumption as fuel</t>
  </si>
  <si>
    <t>Total HSD Consumption as fuel</t>
  </si>
  <si>
    <t>Total LDO Consumption as fuel</t>
  </si>
  <si>
    <t>Total CNG Consumption as fuel</t>
  </si>
  <si>
    <t>Total LPG Consumption as fuel</t>
  </si>
  <si>
    <t>Tonne</t>
  </si>
  <si>
    <t>A4</t>
  </si>
  <si>
    <t>Production Capacity (Clinker)</t>
  </si>
  <si>
    <t>Production Capacity (Cement)</t>
  </si>
  <si>
    <t>Total Clinker Production</t>
  </si>
  <si>
    <t>OPC Production</t>
  </si>
  <si>
    <t>PPC Production</t>
  </si>
  <si>
    <t>PSC/any other Cement Production</t>
  </si>
  <si>
    <t>Capacity Utilization (Clinker)</t>
  </si>
  <si>
    <t>Capacity Utilization (Cement)</t>
  </si>
  <si>
    <t>A5</t>
  </si>
  <si>
    <t>A6</t>
  </si>
  <si>
    <t>A7</t>
  </si>
  <si>
    <t>A8</t>
  </si>
  <si>
    <t>A9</t>
  </si>
  <si>
    <t>A10</t>
  </si>
  <si>
    <t>Quantity of Gypsum Used</t>
  </si>
  <si>
    <t>Quantity of Fly Ash used</t>
  </si>
  <si>
    <t>Quantity of Slag Used</t>
  </si>
  <si>
    <t>Quantity of any other Additive used</t>
  </si>
  <si>
    <t>A11</t>
  </si>
  <si>
    <t>A12</t>
  </si>
  <si>
    <t>A13</t>
  </si>
  <si>
    <t>Avg. Gross Heat rate of DG Set</t>
  </si>
  <si>
    <t>Lakh kWh</t>
  </si>
  <si>
    <t>(ix)</t>
  </si>
  <si>
    <t>(x)</t>
  </si>
  <si>
    <t>(xi)</t>
  </si>
  <si>
    <t>Through Waste Heat Recovery</t>
  </si>
  <si>
    <t>WHR Running Hours</t>
  </si>
  <si>
    <t>Petcoke</t>
  </si>
  <si>
    <t>Bio mass or Other purchased Renewable solid fuels (pl. specify) baggase, rice husk, etc.</t>
  </si>
  <si>
    <t>A3x100/A1</t>
  </si>
  <si>
    <t>A4x100/A2</t>
  </si>
  <si>
    <t>C.4</t>
  </si>
  <si>
    <t>Annual</t>
  </si>
  <si>
    <t>C.1</t>
  </si>
  <si>
    <t>C.5</t>
  </si>
  <si>
    <t>kilo Litre</t>
  </si>
  <si>
    <t>Total LSHS Consumption as fuel</t>
  </si>
  <si>
    <t>E.3</t>
  </si>
  <si>
    <t xml:space="preserve">Liquid Waste (pl. specify and refer CPCB guidelines, enclosed) </t>
  </si>
  <si>
    <t>Total Thermal Energy Input through all Fuels</t>
  </si>
  <si>
    <t>C.6</t>
  </si>
  <si>
    <t>F.3</t>
  </si>
  <si>
    <t>Name of the Unit</t>
  </si>
  <si>
    <t>Details of Production</t>
  </si>
  <si>
    <t>Basis/Calculation</t>
  </si>
  <si>
    <t>a</t>
  </si>
  <si>
    <t>Annual Production</t>
  </si>
  <si>
    <t>b</t>
  </si>
  <si>
    <t>d</t>
  </si>
  <si>
    <t>Production of OPC</t>
  </si>
  <si>
    <t>e</t>
  </si>
  <si>
    <t>Production of PPC</t>
  </si>
  <si>
    <t>f</t>
  </si>
  <si>
    <t>Production of PSC/any other variety cement</t>
  </si>
  <si>
    <t>g</t>
  </si>
  <si>
    <t xml:space="preserve">Clinker Exported </t>
  </si>
  <si>
    <t>h</t>
  </si>
  <si>
    <t>Clinker Imported</t>
  </si>
  <si>
    <t>Conversion Factors (CF) for Clinker to various Cement grades</t>
  </si>
  <si>
    <t>Fraction</t>
  </si>
  <si>
    <t>c</t>
  </si>
  <si>
    <t>Total Thermal Energy Consumption</t>
  </si>
  <si>
    <t>Total Electricity consumed within the plant</t>
  </si>
  <si>
    <t>Electricity Purchased from Grid</t>
  </si>
  <si>
    <t>Total Energy Consumed (Thermal+Electrical)</t>
  </si>
  <si>
    <t>OPC Production equivalent to major product</t>
  </si>
  <si>
    <t>PPC Production equivalent to major product</t>
  </si>
  <si>
    <t xml:space="preserve">PSC/any other verity Cement Production equivalent to major product </t>
  </si>
  <si>
    <t>Total Equivalent major product of Cement</t>
  </si>
  <si>
    <t>Performance Indicators</t>
  </si>
  <si>
    <t>Thermal SEC</t>
  </si>
  <si>
    <t xml:space="preserve"> Electrical SEC (up to Clinkerization)</t>
  </si>
  <si>
    <t>kWh/Tonne Clinker</t>
  </si>
  <si>
    <t xml:space="preserve">Electrical SEC (Cement Grinding) </t>
  </si>
  <si>
    <t>kWh/Tonne Cement</t>
  </si>
  <si>
    <t>Calculation for Gate to Gate SEC</t>
  </si>
  <si>
    <t>Notional Energy Required for grinding of exported Clinker</t>
  </si>
  <si>
    <t>Notional Energy Required for clinkerization of imported Clinker</t>
  </si>
  <si>
    <t>Gate to Gate Energy Consumption</t>
  </si>
  <si>
    <t>Gate to Gate Specific Energy Consumption</t>
  </si>
  <si>
    <t>Annual Installed Capacity</t>
  </si>
  <si>
    <t>Total Cement Production(All  varities)</t>
  </si>
  <si>
    <t>Hrs</t>
  </si>
  <si>
    <t>Source of Data</t>
  </si>
  <si>
    <t>Clinker Factor for OPC</t>
  </si>
  <si>
    <t>Clinker Factor for PPC</t>
  </si>
  <si>
    <t>Clinker Factor for PSC</t>
  </si>
  <si>
    <t>A14</t>
  </si>
  <si>
    <t>A15</t>
  </si>
  <si>
    <t>A16</t>
  </si>
  <si>
    <t>Electricity from Grid / Other</t>
  </si>
  <si>
    <t>Total Electricity Consumed</t>
  </si>
  <si>
    <t>Coal(Imported)</t>
  </si>
  <si>
    <t>Clinker Exported</t>
  </si>
  <si>
    <t>A17</t>
  </si>
  <si>
    <t>A18</t>
  </si>
  <si>
    <t>Notional Energy for Purchased Power</t>
  </si>
  <si>
    <t>Capacity utilization</t>
  </si>
  <si>
    <t>Annual Clinker</t>
  </si>
  <si>
    <t>Annual Cement</t>
  </si>
  <si>
    <t>i</t>
  </si>
  <si>
    <t>Total Combined Cement Production</t>
  </si>
  <si>
    <t>Annual Gross Unit generation</t>
  </si>
  <si>
    <t>Equivalent Thermal Energy supplied to grid/others</t>
  </si>
  <si>
    <t>Pyro-processing</t>
  </si>
  <si>
    <t>(including Pyro-processing and cement mill Hot Air Generator)</t>
  </si>
  <si>
    <t>Gross Unit Generation</t>
  </si>
  <si>
    <t>A19</t>
  </si>
  <si>
    <t>A20</t>
  </si>
  <si>
    <t>A21</t>
  </si>
  <si>
    <t>A22</t>
  </si>
  <si>
    <t>Opening Clinker Stock</t>
  </si>
  <si>
    <t>Closing Clinker Stock</t>
  </si>
  <si>
    <t>Opening Cement Stock</t>
  </si>
  <si>
    <t>Closing Cement Stock</t>
  </si>
  <si>
    <t>j</t>
  </si>
  <si>
    <t>k</t>
  </si>
  <si>
    <t>l</t>
  </si>
  <si>
    <t>m</t>
  </si>
  <si>
    <t xml:space="preserve">                                             Organisation Seal</t>
  </si>
  <si>
    <t>Date:</t>
  </si>
  <si>
    <t>Place:</t>
  </si>
  <si>
    <t>GCV of Fuels</t>
  </si>
  <si>
    <t>GCV of Petcoke</t>
  </si>
  <si>
    <t>GCV of Imported Coal (Process Heating)</t>
  </si>
  <si>
    <t>GCV of Imported Coal (Power Generation)</t>
  </si>
  <si>
    <t>used for kiln</t>
  </si>
  <si>
    <t>used for CPP</t>
  </si>
  <si>
    <t>Details of Other Additives Used</t>
  </si>
  <si>
    <t>B1</t>
  </si>
  <si>
    <t>B2</t>
  </si>
  <si>
    <t>B3</t>
  </si>
  <si>
    <t>B4</t>
  </si>
  <si>
    <t>C1</t>
  </si>
  <si>
    <t>C2</t>
  </si>
  <si>
    <t>C3</t>
  </si>
  <si>
    <t>D1</t>
  </si>
  <si>
    <t>D2</t>
  </si>
  <si>
    <t>D3</t>
  </si>
  <si>
    <t>E1</t>
  </si>
  <si>
    <t>E2.1</t>
  </si>
  <si>
    <t>E.2.2</t>
  </si>
  <si>
    <t>E.4</t>
  </si>
  <si>
    <t>E.5</t>
  </si>
  <si>
    <t>E.6</t>
  </si>
  <si>
    <t>F.4</t>
  </si>
  <si>
    <t>F.5</t>
  </si>
  <si>
    <t xml:space="preserve">Details of Electricity Consumption </t>
  </si>
  <si>
    <t>Clinker used for OPC Production/OPC Produced</t>
  </si>
  <si>
    <t>Clinker used for PPC Production/PPC Produced</t>
  </si>
  <si>
    <t>Clinker used for PSC Production/PSC Produced</t>
  </si>
  <si>
    <t>(OPC Produced X CF Of OPC)/CF of Major Product</t>
  </si>
  <si>
    <t>(PPC Produced X CF Of PPC)/CF of Major Product</t>
  </si>
  <si>
    <t>(PSC Produced X CF Of PSC)/CF of Major Product</t>
  </si>
  <si>
    <t xml:space="preserve"> [Total Thermal Energy  (Million kcal)+{(Total Electricity purchased from grid (Lakh kWh) X 860)-Electricity exported (Lakh kWh) X National Heat Rate- 2717 kcal/kWh}/10]</t>
  </si>
  <si>
    <t>Million kcal</t>
  </si>
  <si>
    <t>    Clinker to PPC</t>
  </si>
  <si>
    <t xml:space="preserve">  (Signature of the Chief Executive)</t>
  </si>
  <si>
    <t>Plant Load Factor (PLF)</t>
  </si>
  <si>
    <t>Coal(lignite)</t>
  </si>
  <si>
    <t>H</t>
  </si>
  <si>
    <t>I</t>
  </si>
  <si>
    <t>National Heat Rate</t>
  </si>
  <si>
    <t>kcal/kWh</t>
  </si>
  <si>
    <t>Weighted Average Heat Rate of CPP Heat Rate All DCs in Cement Sector</t>
  </si>
  <si>
    <t>n</t>
  </si>
  <si>
    <t>Clinker Stock</t>
  </si>
  <si>
    <t>Total Clinker Exported</t>
  </si>
  <si>
    <t>Total Clinker Imported</t>
  </si>
  <si>
    <t>o</t>
  </si>
  <si>
    <t>p</t>
  </si>
  <si>
    <t>(Clinker Exported + Clinker exported to clinker stock)</t>
  </si>
  <si>
    <t>(Clinker imported + Clinker Imported from clinker stock)</t>
  </si>
  <si>
    <t>(Closing Clinker stock- Opening Clinker Stock)</t>
  </si>
  <si>
    <t>Total Exported clinker to major product</t>
  </si>
  <si>
    <t>Total Exported Clinker/CF of Major Product</t>
  </si>
  <si>
    <t>Total Imported Clinker to major product</t>
  </si>
  <si>
    <t>(Total Imported Clinker)/CF of Major Product</t>
  </si>
  <si>
    <t>Average Gross calorific value (Kiln)</t>
  </si>
  <si>
    <t>GCV of Indian Coal</t>
  </si>
  <si>
    <t>C.7</t>
  </si>
  <si>
    <t>Weighted Average Heat Rate of plant</t>
  </si>
  <si>
    <t>kcal/ kWh</t>
  </si>
  <si>
    <t>E.7</t>
  </si>
  <si>
    <t xml:space="preserve">Auxiliary Power Consumption </t>
  </si>
  <si>
    <t>Average Gross calorific value (Power generation)</t>
  </si>
  <si>
    <t>Solid Waste (pl. specify and refer CPCB guidelines, enclosed) rubber tyres chips, Municipal Solid waste etc.</t>
  </si>
  <si>
    <t>Thermal Energy Input through Liquid waste, mentioned in CPCB guidelines,  not to be taken into account</t>
  </si>
  <si>
    <t>Total Liquid waste Consumption as fuel</t>
  </si>
  <si>
    <t>Annual gross generation</t>
  </si>
  <si>
    <t>Annual Gross  generation</t>
  </si>
  <si>
    <t>Lakh Tonne</t>
  </si>
  <si>
    <t>{(Electricity Generated through CPP+Electricity generation through DG Set + Electricity generation through WHR+ Electricity Purchased from Grid) - Electricity exported to Grid}</t>
  </si>
  <si>
    <t>kcal/kg Clinker</t>
  </si>
  <si>
    <t>kcal/kg</t>
  </si>
  <si>
    <t>GCV of Liquid Fuel (FO)</t>
  </si>
  <si>
    <t>GCV of Liquid Fuel (HSD)</t>
  </si>
  <si>
    <t>F.6</t>
  </si>
  <si>
    <t>Kiln-1 Operating Thermal SEC</t>
  </si>
  <si>
    <t>Kiln-1 Running Hours</t>
  </si>
  <si>
    <t>kcal/kg clinker</t>
  </si>
  <si>
    <t>Kiln-2 Operating Thermal SEC</t>
  </si>
  <si>
    <t>Kiln-2 Running Hours</t>
  </si>
  <si>
    <t>Kiln-3 Operating Thermal SEC</t>
  </si>
  <si>
    <t>Kiln-3 Running Hours</t>
  </si>
  <si>
    <t>Kiln-4 Operating Thermal SEC</t>
  </si>
  <si>
    <t>Kiln-4 Running Hours</t>
  </si>
  <si>
    <t>Kiln-5 Operating Thermal SEC</t>
  </si>
  <si>
    <t>Kiln-5 Running Hours</t>
  </si>
  <si>
    <t>Running Hours</t>
  </si>
  <si>
    <t>Electricity Supplied to Colony/others</t>
  </si>
  <si>
    <t xml:space="preserve">Quantity used for process </t>
  </si>
  <si>
    <t>Thermal Energy Used in Power Generation</t>
  </si>
  <si>
    <t>Thermal Energy Used in Process</t>
  </si>
  <si>
    <t>Quantity used for power generation (DG Set)</t>
  </si>
  <si>
    <t>Quantity used for power generation (CPP)</t>
  </si>
  <si>
    <t>Total Liquid Energy Used in Process</t>
  </si>
  <si>
    <t>Total Gaseous Energy Used in Power Generation</t>
  </si>
  <si>
    <t>Total Gaseous Energy Used in Process</t>
  </si>
  <si>
    <t xml:space="preserve"> Total Thermal Energy Used in Process</t>
  </si>
  <si>
    <t>Gross Heat Rate of DG Set</t>
  </si>
  <si>
    <t>Gross Heat Rate of CPP (Steam Turbine)</t>
  </si>
  <si>
    <t>Gross Heat Rate of CPP (Gas Turbine)</t>
  </si>
  <si>
    <t>(i)a</t>
  </si>
  <si>
    <t>(i)b</t>
  </si>
  <si>
    <t>(i)c</t>
  </si>
  <si>
    <t>(ii)a</t>
  </si>
  <si>
    <t>(ii)b</t>
  </si>
  <si>
    <t>(iii)a</t>
  </si>
  <si>
    <t>(iii)b</t>
  </si>
  <si>
    <t>(iv)a</t>
  </si>
  <si>
    <t>(iv)b</t>
  </si>
  <si>
    <t>(v)a</t>
  </si>
  <si>
    <t>(v)b</t>
  </si>
  <si>
    <t>C.2.1</t>
  </si>
  <si>
    <t>C.2.2</t>
  </si>
  <si>
    <t>C.2.3</t>
  </si>
  <si>
    <t>C.2.4</t>
  </si>
  <si>
    <t>Total Own Generation of Electricity</t>
  </si>
  <si>
    <t>(iv)+(v)</t>
  </si>
  <si>
    <t>(v)x(ii)/1000</t>
  </si>
  <si>
    <t>D.4</t>
  </si>
  <si>
    <t>D.5</t>
  </si>
  <si>
    <t>D.6</t>
  </si>
  <si>
    <t>D.7</t>
  </si>
  <si>
    <t>D.8</t>
  </si>
  <si>
    <t>E.8</t>
  </si>
  <si>
    <t>Thermal Energy Used in Power Generation (DG Set)</t>
  </si>
  <si>
    <t>Thermal Energy Used in Power Generation (CPP)</t>
  </si>
  <si>
    <t>kcal/ kg</t>
  </si>
  <si>
    <t>E.9</t>
  </si>
  <si>
    <t>Total Liquid Energy Used in Power Generation (DG Set)</t>
  </si>
  <si>
    <t>Total Liquid Energy Used in Power Generation (CPP)</t>
  </si>
  <si>
    <t>F.1.(viii)+F.2.(vii)</t>
  </si>
  <si>
    <t>Total Thermal Energy</t>
  </si>
  <si>
    <t>G.1</t>
  </si>
  <si>
    <t>G.2</t>
  </si>
  <si>
    <t>G.3</t>
  </si>
  <si>
    <t>D.7+E.7+E.8+F.3</t>
  </si>
  <si>
    <t>D.8+E.9+F.4</t>
  </si>
  <si>
    <t>Gross Heat Rate</t>
  </si>
  <si>
    <t>F.3x10/C.2.3.(ii)</t>
  </si>
  <si>
    <t>H.1</t>
  </si>
  <si>
    <t>H.2</t>
  </si>
  <si>
    <t>H.3</t>
  </si>
  <si>
    <t>I.1</t>
  </si>
  <si>
    <t>I.2</t>
  </si>
  <si>
    <t>I.3</t>
  </si>
  <si>
    <t>kcal/SCM</t>
  </si>
  <si>
    <t>Plant Contact Details &amp; Address</t>
  </si>
  <si>
    <t>City/Town/Village</t>
  </si>
  <si>
    <t>District</t>
  </si>
  <si>
    <t>State</t>
  </si>
  <si>
    <t>Pin</t>
  </si>
  <si>
    <t>Telephone</t>
  </si>
  <si>
    <t>Fax</t>
  </si>
  <si>
    <t>Plant's Chief Executive Name</t>
  </si>
  <si>
    <t>Designation</t>
  </si>
  <si>
    <t>Mobile</t>
  </si>
  <si>
    <t>E-mail</t>
  </si>
  <si>
    <t>Registered Office</t>
  </si>
  <si>
    <t>Company's Chief Executive Name</t>
  </si>
  <si>
    <t>Address</t>
  </si>
  <si>
    <t>Energy Manager Details</t>
  </si>
  <si>
    <t xml:space="preserve">Name  </t>
  </si>
  <si>
    <t>Whether EA or EM</t>
  </si>
  <si>
    <t>EA/EM Registration No.</t>
  </si>
  <si>
    <t>E-mail ID</t>
  </si>
  <si>
    <t>Post Office</t>
  </si>
  <si>
    <t>Sector :-  Cement Sector</t>
  </si>
  <si>
    <t xml:space="preserve"> {Major Product of Cement of  Total exported clinker  (Lakh Tonne) x Electrical SEC of cement grinding (kWh/Tonne of cement) x Weighted average Heat Rate (kcal/kWh)}/10</t>
  </si>
  <si>
    <t xml:space="preserve">[Total Clinker imported (Lakh Tonne) x {Thermal SEC of Clinkerization kCal/kg clinker) x 1000+electrical SEC of clinkerization (kWh/Tonne of clinker)x Weighted average Heat Rate (kCal/kWh)}/10]
</t>
  </si>
  <si>
    <t>kcal/kg equivalent Cement</t>
  </si>
  <si>
    <t>S.No.</t>
  </si>
  <si>
    <t>Raw Material Quality</t>
  </si>
  <si>
    <t>J</t>
  </si>
  <si>
    <t>J.1</t>
  </si>
  <si>
    <t>J.2</t>
  </si>
  <si>
    <t>Burnability</t>
  </si>
  <si>
    <t>Ash</t>
  </si>
  <si>
    <t>Moisture</t>
  </si>
  <si>
    <t>Hydrogen</t>
  </si>
  <si>
    <t>GCV</t>
  </si>
  <si>
    <t>K</t>
  </si>
  <si>
    <t>K.1</t>
  </si>
  <si>
    <t>K.2</t>
  </si>
  <si>
    <t>K.3</t>
  </si>
  <si>
    <t>K.4</t>
  </si>
  <si>
    <t>Kiln-1 Production</t>
  </si>
  <si>
    <t>Kiln-2 Production</t>
  </si>
  <si>
    <t>Kiln-3 Production</t>
  </si>
  <si>
    <t>Kiln-4 Production</t>
  </si>
  <si>
    <t>Kiln-5 production</t>
  </si>
  <si>
    <t>Description</t>
  </si>
  <si>
    <t>Basis/ Calculation</t>
  </si>
  <si>
    <t>Units</t>
  </si>
  <si>
    <t>Kiln Production</t>
  </si>
  <si>
    <t>Ton</t>
  </si>
  <si>
    <t>Weighted Heat Rate</t>
  </si>
  <si>
    <t>No. of running hours</t>
  </si>
  <si>
    <t>TPH</t>
  </si>
  <si>
    <t>Kiln heat rate (kcal/kg) in BY + 0.4673 x (TPH in BY- TPH in AY)</t>
  </si>
  <si>
    <t>kcal/kg of Cli</t>
  </si>
  <si>
    <t>Difference in Kiln Heat Rate</t>
  </si>
  <si>
    <t>Kiln Heat Rate (kcal/kg) in AY - Kiln Heat Rate (kcal/kg) in BY</t>
  </si>
  <si>
    <t>Energy to be subtracted w.r.t. Kiln Thermal Energy Consumption</t>
  </si>
  <si>
    <t>Kiln SPC</t>
  </si>
  <si>
    <t>Kiln SPC in AY=Kiln SPC in BY+0.0943 x (TPH in BY-TPH in AY)</t>
  </si>
  <si>
    <t>kwh/ton of Cli</t>
  </si>
  <si>
    <t>Difference in SPC</t>
  </si>
  <si>
    <t>Kiln SPC in AY-Kiln SPC in BY (kwh/ton of Cli</t>
  </si>
  <si>
    <t>Energy to be subtracted w.r.t. Kiln Electrical and Thermal Energy Consumption</t>
  </si>
  <si>
    <t>Note:</t>
  </si>
  <si>
    <t xml:space="preserve">In the above calculation, installed capacity of kiln/plant is not imminent in the normalization, hence the normalisation is independent of installed capacity </t>
  </si>
  <si>
    <t>Weighted average of all the kilns for overall computation of GtG SEC</t>
  </si>
  <si>
    <t>Kiln Heat rate calculation will be on GCV basis</t>
  </si>
  <si>
    <t>Kiln-1</t>
  </si>
  <si>
    <t>Kiln-2</t>
  </si>
  <si>
    <t>Kiln-3</t>
  </si>
  <si>
    <t>Kiln-4</t>
  </si>
  <si>
    <t>kWh/t clinker</t>
  </si>
  <si>
    <t>(i)d</t>
  </si>
  <si>
    <t>Baseline Year (BY)</t>
  </si>
  <si>
    <t>Kiln-5</t>
  </si>
  <si>
    <t>Total Energy to be subtracted w.r.t. Kiln Electrical and Thermal Energy Consumption</t>
  </si>
  <si>
    <t>Normalization Factor for Fuel Quality in CPP</t>
  </si>
  <si>
    <t>CPP Generation</t>
  </si>
  <si>
    <t>Million kWh</t>
  </si>
  <si>
    <t>Actual CPP Heat Rate</t>
  </si>
  <si>
    <t>Boiler Efficiency</t>
  </si>
  <si>
    <t>92.5- [{50 x (3) + 630x ((4)+ 9x (5))} / (6)]</t>
  </si>
  <si>
    <t>CPP Heat Rate due to Fuel Quality in AY</t>
  </si>
  <si>
    <t>Difference CPP Heat rate from BY to AY</t>
  </si>
  <si>
    <t>(8)AY-(4)BY</t>
  </si>
  <si>
    <t>Energy to be subtracted w.r.t. Fuel Quality</t>
  </si>
  <si>
    <t>Clinker Production</t>
  </si>
  <si>
    <t>Thermal SEC of Clinker</t>
  </si>
  <si>
    <t>Electrical SEC of Clinker</t>
  </si>
  <si>
    <t>kWh/t</t>
  </si>
  <si>
    <t>Petcoke Consumption</t>
  </si>
  <si>
    <t>Normalized Thermal SEC</t>
  </si>
  <si>
    <t>Normalized Electrical SEC</t>
  </si>
  <si>
    <t>Thermal Energy to be subtracted</t>
  </si>
  <si>
    <t>Electrical Energy to be Subtracted</t>
  </si>
  <si>
    <t>Energy to be subtracted w.r.t. change in Fuel</t>
  </si>
  <si>
    <t>(8) + (9)x(4)</t>
  </si>
  <si>
    <t>Normalization Factor for Petcoke Utilization</t>
  </si>
  <si>
    <t>Normalization Factor for PLF variation in CPP</t>
  </si>
  <si>
    <t>Descriptions</t>
  </si>
  <si>
    <t>Basis/ Calculations</t>
  </si>
  <si>
    <t>Actual Gross Heat Rate</t>
  </si>
  <si>
    <t>Normalised Gross Heat Rate</t>
  </si>
  <si>
    <t>Gross generation</t>
  </si>
  <si>
    <t xml:space="preserve">Energy to be subtracted </t>
  </si>
  <si>
    <t xml:space="preserve"> Million kcal</t>
  </si>
  <si>
    <t>Normalization Factor for Power Mix</t>
  </si>
  <si>
    <t>Grid Heat Rate</t>
  </si>
  <si>
    <t>DG Heat Rate</t>
  </si>
  <si>
    <t>Exported Power Heat Rate</t>
  </si>
  <si>
    <t>% share of Grid</t>
  </si>
  <si>
    <t>% share of DG</t>
  </si>
  <si>
    <t>Notional Energy for All Power Source</t>
  </si>
  <si>
    <t>Notional Energy for Exported Power</t>
  </si>
  <si>
    <t>Total Notional Energy for Power Mix</t>
  </si>
  <si>
    <t>Normalization Factor for Product Mix</t>
  </si>
  <si>
    <t>Lakh Ton</t>
  </si>
  <si>
    <t>Cement Production</t>
  </si>
  <si>
    <t>PSC Production</t>
  </si>
  <si>
    <t>Kcal/kWh</t>
  </si>
  <si>
    <t>[(4)*(7)+(5)*(8)] / [(4)+(5)]</t>
  </si>
  <si>
    <t>Notional Energy for Grinding</t>
  </si>
  <si>
    <t>[(9)-(10)-(2)]*(13)*(14)/10</t>
  </si>
  <si>
    <t>Notional Energy for Grinding added in assessment year</t>
  </si>
  <si>
    <t>Notional Energy for Additional Clinker Produced due change in production and additives</t>
  </si>
  <si>
    <t>Total Notional Energy for Product Mix</t>
  </si>
  <si>
    <t>Electricity imported from Grid</t>
  </si>
  <si>
    <t>Electricity exported to grid</t>
  </si>
  <si>
    <t>Electricity generated from Steam Turbine</t>
  </si>
  <si>
    <t>Electricity generated from Gas Turbine</t>
  </si>
  <si>
    <t>Electricity generated from WHR</t>
  </si>
  <si>
    <t>APC of Steam Turbine</t>
  </si>
  <si>
    <t>APC of Gas Turbine</t>
  </si>
  <si>
    <t>Steam Turbine  Gross Heat Rate</t>
  </si>
  <si>
    <t>Gas Turbine  Gross Heat Rate</t>
  </si>
  <si>
    <t>Steam Turbine  Net Heat Rate</t>
  </si>
  <si>
    <t>Gas Turbine  Net Heat Rate</t>
  </si>
  <si>
    <t>% share of Steam Turbine</t>
  </si>
  <si>
    <t>% share of Gas Turbine</t>
  </si>
  <si>
    <t>Total Electricity Availability</t>
  </si>
  <si>
    <t>Electricity generated from DG</t>
  </si>
  <si>
    <t>Total Electricity Consumption With in plant</t>
  </si>
  <si>
    <t xml:space="preserve"> WHR generated Electricity  Consumption  </t>
  </si>
  <si>
    <t xml:space="preserve">Gas Turbine generated Electricity  Consumption  </t>
  </si>
  <si>
    <t>1.a</t>
  </si>
  <si>
    <t>1.b</t>
  </si>
  <si>
    <t>1.c</t>
  </si>
  <si>
    <t>1.d</t>
  </si>
  <si>
    <t>1.e</t>
  </si>
  <si>
    <t>3.a</t>
  </si>
  <si>
    <t>3.b</t>
  </si>
  <si>
    <t>3.c</t>
  </si>
  <si>
    <t>3.d</t>
  </si>
  <si>
    <t>3.e</t>
  </si>
  <si>
    <t>Clinker to OPC</t>
  </si>
  <si>
    <t>Clinker to PPC</t>
  </si>
  <si>
    <t>Notional Energy for Capacity Utilization</t>
  </si>
  <si>
    <t>NF-1 Capacity Utilization Calculation Sheet</t>
  </si>
  <si>
    <t>Notional Energy for Fuel Quality in CPP</t>
  </si>
  <si>
    <t>Notional Energy for Petcoke Utilization</t>
  </si>
  <si>
    <t>Notional Energy for PLF</t>
  </si>
  <si>
    <t>Notional Energy for Power Mix</t>
  </si>
  <si>
    <t>Notional Energy for Product Mix</t>
  </si>
  <si>
    <t>NF-2 Fuel Quality in CPP Calculation Sheet</t>
  </si>
  <si>
    <t>NF-3 Petcoke Utilization Calculation Sheet</t>
  </si>
  <si>
    <t>NF-4 PLF Calculation Sheet</t>
  </si>
  <si>
    <t>NF-5 Power Mix Calculation Sheet</t>
  </si>
  <si>
    <t>NF-6 Product Mix Calculation Sheet</t>
  </si>
  <si>
    <t>kWh/short Ton</t>
  </si>
  <si>
    <t>Factor</t>
  </si>
  <si>
    <t>Hours</t>
  </si>
  <si>
    <t>Normalization Factors</t>
  </si>
  <si>
    <t>Normalized Gate to Gate Specific Energy Consumption</t>
  </si>
  <si>
    <t>(7)+(10a)+(10b)+(10c)</t>
  </si>
  <si>
    <t>(i)e</t>
  </si>
  <si>
    <t>(ii)c</t>
  </si>
  <si>
    <t>(ii)d</t>
  </si>
  <si>
    <t>(iii)e</t>
  </si>
  <si>
    <t>(iii)d</t>
  </si>
  <si>
    <t>(iii)c</t>
  </si>
  <si>
    <t>(iv)c</t>
  </si>
  <si>
    <t>(iv)d</t>
  </si>
  <si>
    <t>(iv)e</t>
  </si>
  <si>
    <t>(v)c</t>
  </si>
  <si>
    <t>(v)d</t>
  </si>
  <si>
    <t>(v)e</t>
  </si>
  <si>
    <t>(ii)e</t>
  </si>
  <si>
    <t>Kiln Capacity and Operating  SEC</t>
  </si>
  <si>
    <t>Total Electricity  Purchased from grid/ Other</t>
  </si>
  <si>
    <t>Total Solid Fuel Energy Used in Power Generation</t>
  </si>
  <si>
    <t>Total Solid Fuel  Energy Used in Process</t>
  </si>
  <si>
    <t>Total Furnace Oil Consumption as fuel</t>
  </si>
  <si>
    <t>Details</t>
  </si>
  <si>
    <t>Please provide total Annual Production of Cement (all grinding units, within the plant) in Tonnes.</t>
  </si>
  <si>
    <t>Formula protected (Annual production of clinker/ Annual production capacity of clinker)</t>
  </si>
  <si>
    <t>Formula protected (Annual production of cement/annual production capacity of cement)</t>
  </si>
  <si>
    <t>Please provide the total annual production of Portland Pozzolana Cement (PPC) within the plant in Tonnes.</t>
  </si>
  <si>
    <t>Please provide the total annual production of Portland Slag Cement (PSC) or any other variety of cement within the plant in Tonnes.</t>
  </si>
  <si>
    <t>Please provide the total clinker, exported to sister unit outside plant boundary or sold to any other entity in Tonnes.</t>
  </si>
  <si>
    <t>Please provide the total annual clinker, imported from sister units (clinkering) or purchased from any other entity in Tonnes.</t>
  </si>
  <si>
    <t>Please provide the total annual Fly Ash consumption for cement production in Tonnes.</t>
  </si>
  <si>
    <t>Please provide the total annual  Gypsum consumption for cement production in Tonnes.</t>
  </si>
  <si>
    <t>Please provide the total annual Slag consumption for cement production in Tonnes.</t>
  </si>
  <si>
    <t>Please provide the total annual other additive consumption for cement production in Tonnes.</t>
  </si>
  <si>
    <t>Please provide clinker factor for OPC (Clinker used for OPC Production/ OPC Cement Produced)</t>
  </si>
  <si>
    <t>Please provide clinker factor for PPC (Clinker used for PPC Production/ PPC Cement Produced)</t>
  </si>
  <si>
    <t>Please provide clinker factor for PSC (Clinker used for PSC Production/ PSC Cement Produced)</t>
  </si>
  <si>
    <t>(i..v) a</t>
  </si>
  <si>
    <t>Please provide annual kiln wise production in Tonnes.</t>
  </si>
  <si>
    <t>(i..v) b</t>
  </si>
  <si>
    <t>Please provide operating kiln thermal SEC (Total thermal energy consumed in kiln/ total kiln production) in kcal/ kg clinker.</t>
  </si>
  <si>
    <t>(i..v) c</t>
  </si>
  <si>
    <t>Please provide operating kiln electrical SEC (Total electricity consumed in kiln/ total kiln production) in kWh / kg clinker.</t>
  </si>
  <si>
    <t>(i..v) d</t>
  </si>
  <si>
    <t>Please provide kiln wise annual  running hours.</t>
  </si>
  <si>
    <t>Please provide annual electricity purchase from the grid in Lakh kWh.</t>
  </si>
  <si>
    <t>Please provide renewal electricity consumption through wheeling in Lakh kWh.</t>
  </si>
  <si>
    <t>Please provide plant connected load in kW.</t>
  </si>
  <si>
    <t>Please provide plant contract demand with utility in KVA.</t>
  </si>
  <si>
    <t xml:space="preserve">Formula protected ( Equivalent thermal energy of purchase electricity from the grid / others = Total electricity from the grid/ other * 860/10) </t>
  </si>
  <si>
    <t>Own Generation</t>
  </si>
  <si>
    <t>Through DG set</t>
  </si>
  <si>
    <t>Through steam turbine/ Through gas turbine</t>
  </si>
  <si>
    <t>Please provide auxiliary power consumption (APC) in %.</t>
  </si>
  <si>
    <t xml:space="preserve">Through Waste Heat Recovery </t>
  </si>
  <si>
    <t>Please provide gross unit generation from WHR in Lakh kWh.</t>
  </si>
  <si>
    <t>Please provide running hours.</t>
  </si>
  <si>
    <t>Formula Protected (Total Own Generation of Electricity)</t>
  </si>
  <si>
    <t>Please provide quantity of electricity sold to the grid in Lakh kWh.</t>
  </si>
  <si>
    <t>Please provide quantity of electricity consumed in colony /other in Lakh kWh.</t>
  </si>
  <si>
    <t xml:space="preserve">Formula Protected (Equivalent Thermal Energy supplied to the grid/others) </t>
  </si>
  <si>
    <t>Formula Protected (Total Electricity Consumed within Plant)</t>
  </si>
  <si>
    <t>Solid Fuel Consumption</t>
  </si>
  <si>
    <t>Please provide the annual solid fuel quantity purchased in tonnes.</t>
  </si>
  <si>
    <t>Please provide the annual solid fuel quantity consumed in power generation in tonnes.</t>
  </si>
  <si>
    <t>Formula protected (Total solid fuel consumption in the power generation and process)</t>
  </si>
  <si>
    <t>Formula protected (Equivalent thermal energy used in power generation)</t>
  </si>
  <si>
    <t>Formula protected (Equivalent thermal energy used in processing)</t>
  </si>
  <si>
    <t>Biomass and other renewable solid fuel / Solid waste</t>
  </si>
  <si>
    <t>Please provide the gross calorific value of biomass / solid waste in kcal/kg.</t>
  </si>
  <si>
    <t>Formula protected (Total biomass/ solid waste consumption in the power generation and process)</t>
  </si>
  <si>
    <t xml:space="preserve">Formula protected [Total solid fuel (indian coal, petcoke, imported coal, lignite and biomass) thermal energy used in power generation] </t>
  </si>
  <si>
    <t xml:space="preserve">Formula protected [Total solid fuel (indian coal, petcoke, imported coal and lignite ) thermal energy used in processing] </t>
  </si>
  <si>
    <t>Please provide the gross calorific value of furnace oil in kcal/kg.</t>
  </si>
  <si>
    <t>Please provide the density of furnace oil in kg/lit.</t>
  </si>
  <si>
    <t>Formula protected (Total furnace oil used in DG, CPP and process heating multiply by the density)</t>
  </si>
  <si>
    <t>Formula protected ( Total furnace oil thermal energy used in DG set)</t>
  </si>
  <si>
    <t>Formula protected ( Total furnace oil thermal energy used in CPP)</t>
  </si>
  <si>
    <t>Formula protected ( Total furnace oil thermal energy used in Process Heating)</t>
  </si>
  <si>
    <t>E.2/E.3</t>
  </si>
  <si>
    <t>LSHS/HSHS</t>
  </si>
  <si>
    <t>Please provide the gross calorific value of LSHS/HSHS in kcal/kg.</t>
  </si>
  <si>
    <t>Please provide the annual LSHS/HSHS quantity purchase in Tonnes.</t>
  </si>
  <si>
    <t>Formula protected (Total LSHS/HSHS used in DG, CPP and process heating)</t>
  </si>
  <si>
    <t>Formula protected ( Total LSHS/HSHS thermal energy used in DG set)</t>
  </si>
  <si>
    <t>Formula protected ( Total LSHS/HSHS thermal energy used in CPP)</t>
  </si>
  <si>
    <t>Formula protected ( Total LSHS/HSHS thermal energy used in Process Heating)</t>
  </si>
  <si>
    <t>E.4/E.5</t>
  </si>
  <si>
    <t>HSD/LDO</t>
  </si>
  <si>
    <t>Please provide the gross calorific value of HSD/LDO in kcal/kg.</t>
  </si>
  <si>
    <t>Please provide the density of HSD/LDO kg/lit.</t>
  </si>
  <si>
    <t>Formula protected (Total HSD/LDO used in DG, CPP and process heating multiply by the density)</t>
  </si>
  <si>
    <t>Formula protected ( Total HSD/LDO thermal energy used in DG set)</t>
  </si>
  <si>
    <t>Formula protected ( Total HSD/LDO thermal energy used in CPP)</t>
  </si>
  <si>
    <t>Formula protected ( Total HSD/LDO thermal energy used in Process Heating)</t>
  </si>
  <si>
    <t>Liquid Waste</t>
  </si>
  <si>
    <t>Please provide the gross calorific value of liquid waste in kcal/kg.</t>
  </si>
  <si>
    <t>Please provide the density of liquid waste in kg/lit.</t>
  </si>
  <si>
    <t>Formula protected ( Total liquid waste thermal energy used in DG set)</t>
  </si>
  <si>
    <t>Formula protected ( Total liquid waste thermal energy used in CPP)</t>
  </si>
  <si>
    <t>Formula protected ( Total liquid waste thermal energy used in Process Heating)</t>
  </si>
  <si>
    <t xml:space="preserve">Formula protected [Total liquid fuel (furnace oil, LSHS, HSHS, HSD and LDO) thermal energy used in DG set for power generation] </t>
  </si>
  <si>
    <t xml:space="preserve">Formula protected [Total liquid fuel (furnace oil, LSHS, HSHS, HSD and LDO) thermal energy used in CPP for power generation] </t>
  </si>
  <si>
    <t xml:space="preserve">Formula protected [Total liquid fuel (furnace oil, LSHS, HSHS, HSD and LDO) thermal energy used in process heating] </t>
  </si>
  <si>
    <t>Gaseous  Fuel Consumption</t>
  </si>
  <si>
    <t>Formula protected (Total LPG used in power generation and process heating)</t>
  </si>
  <si>
    <t>Formula protected ( Total LPG thermal energy used in power generation)</t>
  </si>
  <si>
    <t>Formula protected ( Total LPG  thermal energy used in Process Heating)</t>
  </si>
  <si>
    <t xml:space="preserve">Formula protected [Total gaseous fuel thermal energy used in power generation] </t>
  </si>
  <si>
    <t xml:space="preserve">Formula protected [Total gaseous  fuel thermal energy used in processing] </t>
  </si>
  <si>
    <t>Formula protected [Total thermal energy of all input fuels ( Solid, Liquid and Gaseous) used in power generation]</t>
  </si>
  <si>
    <t>Formula protected [Total thermal energy of all input fuels ( Solid, Liquid and Gaseous) used in process heating]</t>
  </si>
  <si>
    <t>Formula protected ( Gross heat rate of DG set = Total thermal energy used in DG set/ Total annual generation of DG set)</t>
  </si>
  <si>
    <t>Formula protected ( Gross heat rate of Steam Turbine = Total thermal energy used in Steam Turbine / Total annual generation of Steam Turbine)</t>
  </si>
  <si>
    <t>Formula protected ( Gross heat rate of Gas Turbine = Total thermal energy used in Gas Turbine / Total annual generation of Gas Turbine)</t>
  </si>
  <si>
    <t>Performance indicators</t>
  </si>
  <si>
    <t>Please provide the electrical SEC of cement grinding (include all the unit and utility operations, after clinkerization to the packaging and dispatch, within the plant boundary) in kWh/Ton of cement.</t>
  </si>
  <si>
    <t>Please provide the bond index of raw material in kWh/short Ton.</t>
  </si>
  <si>
    <t>Please provide the burnability of raw material</t>
  </si>
  <si>
    <t>Please provide the GCV value of coal used in CPP</t>
  </si>
  <si>
    <t>Sr No</t>
  </si>
  <si>
    <t>Basis/Formulae</t>
  </si>
  <si>
    <t>(iii)f</t>
  </si>
  <si>
    <t>(iii)g</t>
  </si>
  <si>
    <t>(i)f</t>
  </si>
  <si>
    <t>(i)g</t>
  </si>
  <si>
    <t>(ii)f</t>
  </si>
  <si>
    <t>(ii)g</t>
  </si>
  <si>
    <t>(iv)f</t>
  </si>
  <si>
    <t>(iv)g</t>
  </si>
  <si>
    <t>(v)f</t>
  </si>
  <si>
    <t>(v)g</t>
  </si>
  <si>
    <t>Clinker Factor for PSC/others</t>
  </si>
  <si>
    <t>Kiln-1 Operating Electrical SEC</t>
  </si>
  <si>
    <t>Kiln-2 Operating Electrical SEC</t>
  </si>
  <si>
    <t>Kiln-3 Operating Electrical SEC</t>
  </si>
  <si>
    <t>Kiln-4 Operating Electrical SEC</t>
  </si>
  <si>
    <t>Kiln-5 Operating Electrical SEC</t>
  </si>
  <si>
    <t xml:space="preserve">Electricity Consumption </t>
  </si>
  <si>
    <t>Purchased Electricity from grid (SEB)</t>
  </si>
  <si>
    <t>Renewable Electricity (Through Wheeling)</t>
  </si>
  <si>
    <t>Electricity from CPP located outside from plant boundary (Through Wheeling)</t>
  </si>
  <si>
    <t>Contract Demand with utility</t>
  </si>
  <si>
    <t>(vii)x860/10</t>
  </si>
  <si>
    <t>Installed Capacity</t>
  </si>
  <si>
    <t xml:space="preserve">WHR Installed Capacity </t>
  </si>
  <si>
    <t>Please provide total annual production capacity of clinker of all kilns in Tonnes</t>
  </si>
  <si>
    <t>Please provide total annual production capacity of Cement (all grinding units within the plant) in Tonnes.</t>
  </si>
  <si>
    <t>Please provide the total annual production of Ordinary Portland Cement (OPC) within the plant in Tonnes.</t>
  </si>
  <si>
    <t>(i..v) e</t>
  </si>
  <si>
    <t>(i..v) f</t>
  </si>
  <si>
    <t>(i..v) g</t>
  </si>
  <si>
    <t>Please provide electricity consumption from CPP located outside of the plant boundary though wheeling in Lakh kWh.</t>
  </si>
  <si>
    <t>Formula protected (Total electricity purchased from grid = Electricity purchased from grid + Renewal Electricity Consumption + Electricity consumption from CPP outside Plant boundary through wheeling )</t>
  </si>
  <si>
    <t>Please provide gross unit generation from DG sets in Lakh kWh.</t>
  </si>
  <si>
    <t>Please provide designed gross heat rate of DG sets in kcal/kWh.</t>
  </si>
  <si>
    <t>Please provide annual running hours of DG sets.</t>
  </si>
  <si>
    <t>Please provide installed capacity of DG sets in MW.</t>
  </si>
  <si>
    <t>Please provide gross unit generation of all the Units in Lakh kWh.</t>
  </si>
  <si>
    <t>Please provide installed capacity of all the Units in MW.</t>
  </si>
  <si>
    <t>Please provide Design Heat Rate of all the Units in kcal/kWh.</t>
  </si>
  <si>
    <t>Please provide annual running hours of all the units.</t>
  </si>
  <si>
    <t>Please provide installed capacity of WHR in MW.</t>
  </si>
  <si>
    <t>Please provide the gross calorific value (As Fired Basis) of solid fuel consumed for power generation in kcal/kg.</t>
  </si>
  <si>
    <t>Please provide the gross calorific value (As Fired Basis) of solid fuel consumed in the process in kcal/kg.</t>
  </si>
  <si>
    <t>Please provide the annual solid fuel quantity consumed in process in tonnes.</t>
  </si>
  <si>
    <t>Please provide the annual biomass/ solid waste Consumed in power generation in tonnes.</t>
  </si>
  <si>
    <t>Please provide the annual biomass/ solid waste consumed in processing in tonnes.</t>
  </si>
  <si>
    <t>Please provide the LSHS/HSHS quantity consumed in DG set for power generation in Tonnes.</t>
  </si>
  <si>
    <t>Please provide the LSHS/HSHS quantity consumed in CPP for power generation in Tonnes.</t>
  </si>
  <si>
    <t>Please provide the LSHS/HSHS quantity consumed in process heating.</t>
  </si>
  <si>
    <t xml:space="preserve">Please provide the thermal SEC of clinker (SEC calculated on Gross Calorific Value (GCV) basis) in kcal/kg of clinker [SEC of kiln= Total Thermal Energy consumed in kiln/Clinker Production in kcal/kg of Clinker]
</t>
  </si>
  <si>
    <t>Please provide the Ash %  in coal used in CPP</t>
  </si>
  <si>
    <t>Please provide the Moisture %  in coal used in CPP</t>
  </si>
  <si>
    <t>Please provide the Hydrogen %  in coal used in CPP</t>
  </si>
  <si>
    <t>Coal Quality in CPP (As Fired Basis)</t>
  </si>
  <si>
    <t>Kiln SPC= Kiln Specific Power consumption</t>
  </si>
  <si>
    <t>Total Electricity Consumption With in plant exculding WHR</t>
  </si>
  <si>
    <t>(1)/(3)</t>
  </si>
  <si>
    <t>Process Flow Diagram Attached</t>
  </si>
  <si>
    <t>Yes/No</t>
  </si>
  <si>
    <t>L</t>
  </si>
  <si>
    <t xml:space="preserve">Compulsory to attach yearwise Plant's  Process Flow Diagram </t>
  </si>
  <si>
    <t>Electricity through Grid / Other (Including colony and others)</t>
  </si>
  <si>
    <t>C.6*2717/10</t>
  </si>
  <si>
    <t>C.8</t>
  </si>
  <si>
    <t>Electricity Exported to Grid/others</t>
  </si>
  <si>
    <t xml:space="preserve">Formula Protected (Electricity Suplied to the grid/others) </t>
  </si>
  <si>
    <t>Nos</t>
  </si>
  <si>
    <t>(i)h</t>
  </si>
  <si>
    <t>Kiln-1 Cold to Hot start due to external factors</t>
  </si>
  <si>
    <t>(ii)h</t>
  </si>
  <si>
    <t>(iii)h</t>
  </si>
  <si>
    <t>(iv)h</t>
  </si>
  <si>
    <t>(i..v) h</t>
  </si>
  <si>
    <t>(v)h</t>
  </si>
  <si>
    <t>Cold to Hot kiln Start due to external factor</t>
  </si>
  <si>
    <t>(0.1829 x TPH in AY + 197.41 ) x (Nos of Cold Startup in AY-Nos of Cold Startup in BY)</t>
  </si>
  <si>
    <t>Energy to be subtracted w.r.t. additional Kiln Cold startup  for Thermal Energy Consumption</t>
  </si>
  <si>
    <t>Weighted CF of PPC and PSC</t>
  </si>
  <si>
    <t>Electrical SEC (up to Clinkerization)</t>
  </si>
  <si>
    <t>M</t>
  </si>
  <si>
    <t>L1</t>
  </si>
  <si>
    <t>kcal/kg of Clinker</t>
  </si>
  <si>
    <t>[(7)AY-(3)BY]x(1)AY/10</t>
  </si>
  <si>
    <t>[(6)AY-(2)BY]x(1)AYx100</t>
  </si>
  <si>
    <t>kWh/t of Clinker</t>
  </si>
  <si>
    <t>Equivalent major grade cement Production for Normalisation</t>
  </si>
  <si>
    <t>Additional Clinker producted due to change  production and additive(PPC &amp; PSC)</t>
  </si>
  <si>
    <t>(16)BY-(16)AY</t>
  </si>
  <si>
    <t>Plant Availability Factor</t>
  </si>
  <si>
    <t>Remarks</t>
  </si>
  <si>
    <t>(18)+(19)</t>
  </si>
  <si>
    <t>Total Electricity  Purchased from grid/ Other with out colony/construction  power etc</t>
  </si>
  <si>
    <t>Equivalent Thermal Energy of Purchased Electricity from Grid / Other without colony/construction power etc</t>
  </si>
  <si>
    <t>Electricity Supplied to Grid/Colony/others from CPP</t>
  </si>
  <si>
    <t>Coal 1</t>
  </si>
  <si>
    <t>Coal 2</t>
  </si>
  <si>
    <t>Coal 3</t>
  </si>
  <si>
    <t>Coal 4 (Other Solid Fuel)</t>
  </si>
  <si>
    <t>D.9</t>
  </si>
  <si>
    <t>D.10</t>
  </si>
  <si>
    <t>D.11</t>
  </si>
  <si>
    <t>D.12</t>
  </si>
  <si>
    <t>Lime Stone Bond Index</t>
  </si>
  <si>
    <t>D.1/D.2/D.3/D.4 / D.5 /D.6/D.7/D.8</t>
  </si>
  <si>
    <t>Coal (Indian) / Petcoke/ Coal (Imported) / Coal (Lignite)/Coal 1/Coal 2/Coal 3/ Coal 4 (Other Solid Fuel)</t>
  </si>
  <si>
    <t>D.9/D.10</t>
  </si>
  <si>
    <t>C.2.2.1</t>
  </si>
  <si>
    <t>Plant Availability Factor (PAF)</t>
  </si>
  <si>
    <t>C.2.2.2</t>
  </si>
  <si>
    <t>C.2.2.3</t>
  </si>
  <si>
    <t>The % of Loss in loading due to external factor like Low Power demand due to market condition, Unavailability of Fuel, other external circumstances not contolled by plant. This will be calculated through Loading and total nos of hours in operation at low plant factor bifurcated with internal and external factor.</t>
  </si>
  <si>
    <t>% of loss due to external Factors</t>
  </si>
  <si>
    <t xml:space="preserve">Designed Gross Heat Rate </t>
  </si>
  <si>
    <t xml:space="preserve">Design Gross Heat Rate </t>
  </si>
  <si>
    <t>H.4</t>
  </si>
  <si>
    <t>kcal/kwh</t>
  </si>
  <si>
    <t>Natural Gas (CNG/NG/PNG/LNG)</t>
  </si>
  <si>
    <t>Million kg</t>
  </si>
  <si>
    <t>Normalization Factor- Others</t>
  </si>
  <si>
    <t>Miscelleneous Data</t>
  </si>
  <si>
    <t>Additional Electrical Energy Consumed</t>
  </si>
  <si>
    <t>Additional Thermal Energy Consumed</t>
  </si>
  <si>
    <t>Biomass replacement with Fossil fuel due to un-availbility used in the process</t>
  </si>
  <si>
    <t>Alternate Solid Fuel replacement with Fossil fuel due to un-availbility used in the process</t>
  </si>
  <si>
    <t>Alternate Liquid Fuel replacement with Fossil fuel due to un-availbility used in the process</t>
  </si>
  <si>
    <t>Unforeseen Circumstances</t>
  </si>
  <si>
    <t>Electrical Energy to be Normalised</t>
  </si>
  <si>
    <t>Thermal Energy to be Normalised</t>
  </si>
  <si>
    <t>(i)i</t>
  </si>
  <si>
    <t>Electrical Energy Consumed due to commissioning of Equipment</t>
  </si>
  <si>
    <t>Thermal Energy Consumed due to commissioning of Equipment</t>
  </si>
  <si>
    <t>New Line/Unit Commissioning</t>
  </si>
  <si>
    <t xml:space="preserve">Electrical Energy Consumed due to commissioning of New process Line/Unit till it attains 70% of Capacity Utilisation </t>
  </si>
  <si>
    <t xml:space="preserve">Thermal Energy Consumed due to commissioning of New Process Line/Unit till it attains 70% of Capacity Utilisation </t>
  </si>
  <si>
    <t>Thermal Energy Consumed due to commissioning of New Line/Unit till it attains 70% of Capacity Utilisation in Power generation</t>
  </si>
  <si>
    <t>Clinker Production till new line attains 70% of Capacity utilisatiion</t>
  </si>
  <si>
    <t>Tonns</t>
  </si>
  <si>
    <t>Electrical Energy Consumed from external source due to commissioning of New Line/Unit till it attains 70% of Capacity Utilisation in Power generation</t>
  </si>
  <si>
    <t>Date of Commissioning (70% Capacity Utilisation)</t>
  </si>
  <si>
    <t>Date</t>
  </si>
  <si>
    <t>(i)j</t>
  </si>
  <si>
    <t>(i)k</t>
  </si>
  <si>
    <t>Project Activities (Construction Phase)</t>
  </si>
  <si>
    <t>Kiln-2 Hot to Cold stop due to external factor</t>
  </si>
  <si>
    <t>Kiln-2 Cold to Hot start due to external factors</t>
  </si>
  <si>
    <t>Kiln-3 Hot to Cold stop due to external factor</t>
  </si>
  <si>
    <t>Kiln-3 Cold to Hot start due to external factors</t>
  </si>
  <si>
    <t>Kiln-4 Hot to Cold stop due to external factor</t>
  </si>
  <si>
    <t>Kiln-4 Cold to Hot start due to external factors</t>
  </si>
  <si>
    <t>Kiln-5 Hot to Cold stop due to external factor</t>
  </si>
  <si>
    <t>Kiln-5 Cold to Hot start due to external factors</t>
  </si>
  <si>
    <t xml:space="preserve">Energy to be subtracted w.r.t. kiln Hot to Cold Stop </t>
  </si>
  <si>
    <t>Notional Energy for other Factors</t>
  </si>
  <si>
    <t>NF-7 Others Normalisation</t>
  </si>
  <si>
    <t>Additional Electrical &amp; Thermal Energy Consumed due to Environmental Concern</t>
  </si>
  <si>
    <t xml:space="preserve">Biomass Gross Calorific Value </t>
  </si>
  <si>
    <t>Liquid Alternate Fuel Gross Calorific Value</t>
  </si>
  <si>
    <t>Soild Alternate Fuel Gross Calorific  Value</t>
  </si>
  <si>
    <t>Additional Electrical &amp; Thermal Energy Consumed due to commissioning of Equipment (Construction Phase)</t>
  </si>
  <si>
    <t xml:space="preserve">Electrical &amp; Thermal Energy Consumed due to commissioning of New process Line/Unit till it attains 70% of Capacity Utilisation </t>
  </si>
  <si>
    <t>Electrical &amp; Thermal Energy Consumed from external source due to commissioning of New Line/Unit till it attains 70% of Capacity Utilisation in Power generation</t>
  </si>
  <si>
    <t>Electrical &amp; Thermal Energy to be Normalised consumed due to unforeseen circumstances</t>
  </si>
  <si>
    <t>$ Authentic documents in support of claim in Thermal and Electrical Energy is required</t>
  </si>
  <si>
    <t>(i)l</t>
  </si>
  <si>
    <t>(ii)i</t>
  </si>
  <si>
    <t>(ii)j</t>
  </si>
  <si>
    <t>(ii)k</t>
  </si>
  <si>
    <t>(iii)i</t>
  </si>
  <si>
    <t>(iii)j</t>
  </si>
  <si>
    <t>(iii)k</t>
  </si>
  <si>
    <t>(iv)i</t>
  </si>
  <si>
    <t>(iv)j</t>
  </si>
  <si>
    <t>(iv)k</t>
  </si>
  <si>
    <t>Kiln-4 Cold to Hot start due to external factors (Electrical Energy Consumption)</t>
  </si>
  <si>
    <t>Kiln-3 Cold to Hot start due to external factors (Electrical Energy Consumption)</t>
  </si>
  <si>
    <t>Kiln-3 Hot to Cold stop due to external factor (Electrical Energy Consumption)</t>
  </si>
  <si>
    <t>Kiln-2 Cold to Hot start due to external factors (Electrical Energy Consumption)</t>
  </si>
  <si>
    <t>Kiln-4 Hot to Cold stop due to external factor (Electrical Energy Consumption)</t>
  </si>
  <si>
    <t>Kiln-5 Cold to Hot start due to external factors (Electrical Energy Consumption)</t>
  </si>
  <si>
    <t>(v)i</t>
  </si>
  <si>
    <t>(v)j</t>
  </si>
  <si>
    <t>(v)k</t>
  </si>
  <si>
    <t>Kiln-5 Hot to Cold stop due to external factor (Electrical Energy Consumption)</t>
  </si>
  <si>
    <t>Kiln-2 Hot to Cold stop due to external factor (Electrical Energy Consumption)</t>
  </si>
  <si>
    <t>Kiln-1 Cold to Hot start due to external factors (Electrical Energy Consumption)</t>
  </si>
  <si>
    <t xml:space="preserve">Kiln-1 Cold to Hot start due to internal factors </t>
  </si>
  <si>
    <t xml:space="preserve">Kiln-2 Cold to Hot start due to internal factors </t>
  </si>
  <si>
    <t xml:space="preserve">Kiln-3 Cold to Hot start due to internal factors </t>
  </si>
  <si>
    <t xml:space="preserve">Kiln-4 Cold to Hot start due to internal factors </t>
  </si>
  <si>
    <t>Kiln Hot to Cold stop due to external factor (Electrical Energy Consumption)</t>
  </si>
  <si>
    <t>Kiln Cold to Hot Start due to external factor (Electrical Energy Consumption)</t>
  </si>
  <si>
    <t>Kiln Heat Rate Normalisation (Thermal Energy)</t>
  </si>
  <si>
    <t>Kiln Specific Power Consumption Normalisation (Electrical Energy)</t>
  </si>
  <si>
    <t>Energy to be subtracted w.r.t. kiln Cold start up for Electrical Energy Consumption</t>
  </si>
  <si>
    <t>(1)x(2)x(14)/10^6</t>
  </si>
  <si>
    <t>Clinker to PSC/any other variety of cement</t>
  </si>
  <si>
    <t>(11)+(12)+(15)+(16)+(17)</t>
  </si>
  <si>
    <t>Kiln-1 (18) +Kiln-2 (18)+Kiln-3 (18)+Kiln-4 (18)+Kiln-5 (18)</t>
  </si>
  <si>
    <t>Yes</t>
  </si>
  <si>
    <t>Document Available for Normalisation</t>
  </si>
  <si>
    <t>Capacity Utilization-Document Available for Normalisation</t>
  </si>
  <si>
    <t>Fuel Quality in CPP-Document Available for Normalisation</t>
  </si>
  <si>
    <t>Petcoke Utilization in Kiln-Document Available for Normalisation</t>
  </si>
  <si>
    <t>Documentation for Normalisation</t>
  </si>
  <si>
    <t>CPP PLF- Document Available for Normalisation</t>
  </si>
  <si>
    <t>Power Mix-Document Available for Normalisation</t>
  </si>
  <si>
    <t>Product Mix-Document Available for Normalisation</t>
  </si>
  <si>
    <t>L.1</t>
  </si>
  <si>
    <t>L.2</t>
  </si>
  <si>
    <t>L.3</t>
  </si>
  <si>
    <t>L.4</t>
  </si>
  <si>
    <t>L.5</t>
  </si>
  <si>
    <t>N</t>
  </si>
  <si>
    <t>Please provide the annual Hot-Hot start in Nos</t>
  </si>
  <si>
    <t>Please provide the total annual Hot-Cold Stoppage Hours for kiln due to external factor</t>
  </si>
  <si>
    <t>Please provide the total annual Hot-Cold Stoppage Nos for kiln due to external factor</t>
  </si>
  <si>
    <t>(i..v) i</t>
  </si>
  <si>
    <t>Biomass/ Alternate Fuel availability (as per Sr. No D.9/D.10/E.6)</t>
  </si>
  <si>
    <t xml:space="preserve">Additional Equipment installation after baseline year due to Environmental Concern </t>
  </si>
  <si>
    <t>Miscelleneous Data $</t>
  </si>
  <si>
    <t>(i..v) j</t>
  </si>
  <si>
    <t>Please provide the total annual Cold-Hot Start Hours for kiln due to external factor</t>
  </si>
  <si>
    <t>Please provide the total annual Cold-Hot Start Nos for kiln due to external factor</t>
  </si>
  <si>
    <t>(i..v) k</t>
  </si>
  <si>
    <t>(i..v) l</t>
  </si>
  <si>
    <t xml:space="preserve">Please provide the annual Cold-Hot Start in Nos due to internal factors </t>
  </si>
  <si>
    <t>Note</t>
  </si>
  <si>
    <t xml:space="preserve"> (i)</t>
  </si>
  <si>
    <t xml:space="preserve"> (ii)</t>
  </si>
  <si>
    <t>Solid/Liquid/Gaseous Fuel consumption of each additional equipment installed from 1st Apr to 31st March</t>
  </si>
  <si>
    <t>L2</t>
  </si>
  <si>
    <t>Fossil Fuel: Coal/Lignite/Fuel Oil</t>
  </si>
  <si>
    <t>Please provide the details of repalcement of Bio-mass with fossil fuel due to un-avaialability. This is required in fossil fuel tonnage in terms of equivalent GCV of Bio-mass (Used in Process)</t>
  </si>
  <si>
    <t>Please provide the details of repalcement of Alternate Solid Fuel with fossil fuel due to un-avaialability.  This is required in fossil fuel tonnage in terms of equivalent GCV of Alternate Solid Fuel (Used in Process)</t>
  </si>
  <si>
    <t>Please provide the details of repalcement of Alternate Liquid Fuel with fossil fuel due to un-avaialability.  This is required in fossil fuel tonnage in terms of equivalent GCV of Alternate Liquid Fuel (Used in Process)</t>
  </si>
  <si>
    <t>L3</t>
  </si>
  <si>
    <t>Energy Meter Readings of each project activity  with list of equipment installed under each activity from 1st Apr to 31st March</t>
  </si>
  <si>
    <t>Solid/Liquid/Gaseous Fuel consumption of each project activity with list of equipment under each activity installed from 1st Apr to 31st March</t>
  </si>
  <si>
    <t>Energy Meter Readings and Power consumpotion details of each additional equipment installed from 1st Apr to 31st March</t>
  </si>
  <si>
    <t>L4</t>
  </si>
  <si>
    <t>Please provide the thermal energy consumed in Million kcal during its commissioning till it attains 70% of the new line capacity utilisation. The energy is calculated after converting from the different fuel GCV used in the new process/line</t>
  </si>
  <si>
    <t>Please provide the clinker production during its commissioning up to 70% of new line/process capacity utilisation in Tonnes</t>
  </si>
  <si>
    <t>Please provide the date of achieving 70% capacity utilisation of new process/line</t>
  </si>
  <si>
    <t>Please provide the thermal energy consumed in Million kcal during its commissioning till it attains 70% of the new unit capacity utilisation. The energy is calculated after converting from the different fuel GCV used in the new unit  in Power generation</t>
  </si>
  <si>
    <t>Please provide the date of achieving 70% capacity utilisation of new unit in Power generation</t>
  </si>
  <si>
    <t>L5</t>
  </si>
  <si>
    <t>Unforeseen Circumstances: Situation not under direct or indirect control of pLant management</t>
  </si>
  <si>
    <t>Please provide the Thermal Energy Consumption with list of unforeseen circumstances consumed in Million kcal claimed for Normalisation</t>
  </si>
  <si>
    <t>Please provide the PFD for baseline as well as for assessment year</t>
  </si>
  <si>
    <t>Rs/Tonne</t>
  </si>
  <si>
    <t>Basic Cost+Taxes+Freight</t>
  </si>
  <si>
    <t>Landed Cost of fuel (Last purchase)</t>
  </si>
  <si>
    <t>Rs/SCM</t>
  </si>
  <si>
    <t>(xii)</t>
  </si>
  <si>
    <t>Please provide opening clinker stock in tonnes.</t>
  </si>
  <si>
    <t>Please provide closing clinker stock in tonnes.</t>
  </si>
  <si>
    <t>Please provide opening cement stock in tonnes.</t>
  </si>
  <si>
    <t>Please provide closing cement stock in tonnes.</t>
  </si>
  <si>
    <t>Sales and Distribution</t>
  </si>
  <si>
    <t>Financial Accounting</t>
  </si>
  <si>
    <t>Material Management</t>
  </si>
  <si>
    <t>Production and Planning</t>
  </si>
  <si>
    <t>Monthly Production Report</t>
  </si>
  <si>
    <t>Daily Production Report</t>
  </si>
  <si>
    <t>(10d)-(12a)-(12b)-(12c)-(12d)-(12e)-(12f)-(12g)</t>
  </si>
  <si>
    <t>MPR</t>
  </si>
  <si>
    <t>DPR</t>
  </si>
  <si>
    <t>MM</t>
  </si>
  <si>
    <t>PP</t>
  </si>
  <si>
    <t>SD</t>
  </si>
  <si>
    <t>FI</t>
  </si>
  <si>
    <t>Market Demand</t>
  </si>
  <si>
    <t>Document related to external factor</t>
  </si>
  <si>
    <t>Grid Failure</t>
  </si>
  <si>
    <t>PM</t>
  </si>
  <si>
    <t>Plant Maintenance</t>
  </si>
  <si>
    <t>Natural Disaster</t>
  </si>
  <si>
    <t>Major change in government policy hampering plant's process system</t>
  </si>
  <si>
    <t>Raw Material un-availability</t>
  </si>
  <si>
    <t>Please provide landed cost of Solid Fuel i.e. Basic Cost+All Taxes + Freight. The landed cost of last purchase order in the financial year</t>
  </si>
  <si>
    <t>Please provide no of hrs per annum during which Plant run on  low load due to Internal Factors/ Breakdown in Plant (Average weighted hours of all the units)</t>
  </si>
  <si>
    <t>Please provide no of hrs per annum during which Plant runs on low load due to Fuel Unavailability/ Market demand/External Condition (Average weighted hours of all the units)</t>
  </si>
  <si>
    <t>Please provide Break down hrs due to internal, Planned and external factor for calculating Plant Availability Factor</t>
  </si>
  <si>
    <t>Frequency of record</t>
  </si>
  <si>
    <t>Daily, Monthly</t>
  </si>
  <si>
    <t>Lot, Daily, Monthly, Quarterly</t>
  </si>
  <si>
    <t>Yearly</t>
  </si>
  <si>
    <t>Lot, Daily, Monthly, Yearly</t>
  </si>
  <si>
    <t>Export Energy Meter</t>
  </si>
  <si>
    <t>Hourly, Daily and Monthly</t>
  </si>
  <si>
    <t>Please provide the annual biomass/ solid waste quantity puchsed in tonnes</t>
  </si>
  <si>
    <t>Please provide the gross calorific value of NG in kcal/SCM.</t>
  </si>
  <si>
    <t>Please provide the annual NG quantity purchase in million SCM.</t>
  </si>
  <si>
    <t>Please provide the NG quantity consumed in power generation in million SCM.</t>
  </si>
  <si>
    <t>Please provide the NG quantity consumed in transportation in million SCM.</t>
  </si>
  <si>
    <t>Please provide the NG quantity consumed in process heating million SCM</t>
  </si>
  <si>
    <t>Formula protected (Total NG used in power generation and process heating)</t>
  </si>
  <si>
    <t>Formula protected ( Total NG thermal energy used in power generation)</t>
  </si>
  <si>
    <t>Formula protected ( Total NG  thermal energy used in Process Heating)</t>
  </si>
  <si>
    <t>Please provide the gross calorific value of LPG in kcal/kg.</t>
  </si>
  <si>
    <t>Please provide the annual LPG quantity purchase in million kg.</t>
  </si>
  <si>
    <t>Please provide the LPG quantity consumed in power generation in million kg.</t>
  </si>
  <si>
    <t>Please provide the LPG quantity consumed in process heating million kg</t>
  </si>
  <si>
    <t xml:space="preserve">Capacity of all the kilns </t>
  </si>
  <si>
    <t>Capacity of all Cement Grinding Plant</t>
  </si>
  <si>
    <t>Production of Clinker from all the kilns</t>
  </si>
  <si>
    <t>Production of Cement from all Cement mills</t>
  </si>
  <si>
    <t>Continouous, Hourly, Daily, Monthly</t>
  </si>
  <si>
    <t>Record Opening and Closing stock on daily basis</t>
  </si>
  <si>
    <t>Packing Plant records</t>
  </si>
  <si>
    <t>Continuous, Hourly, Daily, Monthly</t>
  </si>
  <si>
    <t>O</t>
  </si>
  <si>
    <t>Abbreviations</t>
  </si>
  <si>
    <t>For records and cross checking</t>
  </si>
  <si>
    <t>Energy Management System</t>
  </si>
  <si>
    <t>Monthly</t>
  </si>
  <si>
    <t>Continuous, Hourly, daily, Monthly</t>
  </si>
  <si>
    <t>Hourly, daily, Monthly</t>
  </si>
  <si>
    <t>Plant Availability factor is the factor after deducting the total time of break down and planned stoppage from the total hours avaialble in a year. This is required for calculating the plant load factor</t>
  </si>
  <si>
    <t>Plant Lod factor is the factor of total unit generation in year and maximum unit generation while taking plant avaialability factor into account</t>
  </si>
  <si>
    <t>Plant Load Factor</t>
  </si>
  <si>
    <t xml:space="preserve">Lab Register </t>
  </si>
  <si>
    <t>Stores Receipt</t>
  </si>
  <si>
    <t>Flow Meter, Dip measurement in day tank</t>
  </si>
  <si>
    <t>Daily, Monthly, Yearly</t>
  </si>
  <si>
    <t>Lot, Monthly, Yearly</t>
  </si>
  <si>
    <t>Gas Meter Reading, Bullet Pressure Reading</t>
  </si>
  <si>
    <t>Lot, Dailiy, Monthly, Yearly</t>
  </si>
  <si>
    <t>Contnuous, Daily, Monthly, Yearly</t>
  </si>
  <si>
    <t>Weekly, Monthly, Yearly</t>
  </si>
  <si>
    <t>Lot, Monthly</t>
  </si>
  <si>
    <t>Daily, Monthly, Annual</t>
  </si>
  <si>
    <t>Operator's Shift Register</t>
  </si>
  <si>
    <t>EMS</t>
  </si>
  <si>
    <t>1) Internal material Transfer Records</t>
  </si>
  <si>
    <t xml:space="preserve">1)Electical Meter Record for kiln section </t>
  </si>
  <si>
    <t>1) Monthly Electricity Bills from Utility</t>
  </si>
  <si>
    <t>1) Capacity Enhancement document</t>
  </si>
  <si>
    <t>1) Energy Meter</t>
  </si>
  <si>
    <t>1) OEM document on designed heat rate</t>
  </si>
  <si>
    <t>1) PG test documement</t>
  </si>
  <si>
    <t xml:space="preserve">1) Energy Meter </t>
  </si>
  <si>
    <t>1) colony/Others meter</t>
  </si>
  <si>
    <t xml:space="preserve">1) Stores Receipt Register </t>
  </si>
  <si>
    <t>1)Belt Weigher before Coal Bunker</t>
  </si>
  <si>
    <t xml:space="preserve">1) Limestone Test Certificate </t>
  </si>
  <si>
    <t>1) Raw material Quality test certificate</t>
  </si>
  <si>
    <t xml:space="preserve">1) Weigh Feeder </t>
  </si>
  <si>
    <t xml:space="preserve">1) Record/Document from SAP Entry/Log Book Entry/DPR/MPR </t>
  </si>
  <si>
    <t>1) Equipment/Section wise capacity document from OEM 2) Capacity calculation document submitted for Enviromental Consent</t>
  </si>
  <si>
    <t>1) Lab Testing Register 2) Closing and opening stock</t>
  </si>
  <si>
    <t>1)Kiln Shift operator's Log Register 2) Breakdown report</t>
  </si>
  <si>
    <t>1) Monthly Electricity Bills from Grid 2) Internal Meter reading records for grid incomer</t>
  </si>
  <si>
    <t xml:space="preserve">1) Open Access records 2) Electricity Bills (for Wheeling) </t>
  </si>
  <si>
    <t>1) L-Form document 2) Electrical Inspectorate record</t>
  </si>
  <si>
    <t>1) Total connected Load (TCL) of Plant 2) Equipment List</t>
  </si>
  <si>
    <t xml:space="preserve">1) OEM document for capacity 2) Rating plate of Generator </t>
  </si>
  <si>
    <t>1)Electrical Shift log book 2) Utility Shift Log book</t>
  </si>
  <si>
    <t xml:space="preserve">1) Capacity Enhancement document 2) R&amp;M document </t>
  </si>
  <si>
    <t>1) Energy Meter 2) Equipment List</t>
  </si>
  <si>
    <t>1) Operator's Shift Register 2) CPP Break down  analysis Report</t>
  </si>
  <si>
    <t xml:space="preserve">1) Purchase Order for basic rates and taxes 2) Freight document for rates </t>
  </si>
  <si>
    <t>1) Lab Register on Fuel Testing for Proximate Analysis 2) Callibration Record of instrument used for testing</t>
  </si>
  <si>
    <t>1) Belt Weigh Feeder 2) Solid Flow Meter</t>
  </si>
  <si>
    <t>1) Fuel Flow Meter 2) Weigh Feeder</t>
  </si>
  <si>
    <t>1) Rated Capacity of new unit from OEM 2) Energy Meter Readings and Power Consumption record of unit  from external source with list of equipment installed from 1st Apr to 31st March</t>
  </si>
  <si>
    <t>1) Relevent document on Unforeseen Circumstances beyond the control of plant 2) Energy Meter Readings and Power Consumption during the said period of unforeseen circumstances</t>
  </si>
  <si>
    <t>1) Open Access records 2) Electricity Bills for renewal energy 3) Renewal Purchase Obligation document</t>
  </si>
  <si>
    <t xml:space="preserve">1) Break down report 3) Operators Shift Register </t>
  </si>
  <si>
    <t>1)Vehicle Log book 2) Stores Receipt 3) Fuel Dispenser meter reading 3) Work Order for Internal Transportation</t>
  </si>
  <si>
    <t>1)Operator Shift Register 2) Weighfeeder Reading (Kiln Feed and Fuel Feed) 3) Belt Weigher Reading (Clinker and Fuel Firing)</t>
  </si>
  <si>
    <t>1) EMS 2) Energy Meter 3) Addition Equipment List with capacity and running load</t>
  </si>
  <si>
    <t xml:space="preserve">1) Relevent document on Unforeseen Circumstances beyond the control of plant 2) Energy Meter Readings and Power Consumption during the said period of unforeseen circumstances 3) Thermal Energy Consumption record during the said period of unfreseen circumstances  from DPR/Log book/SAP Entry </t>
  </si>
  <si>
    <t>1)Silo Level 2) Feeding Weighhfeeders 3) Belt Weigher 4) Solid flow meter</t>
  </si>
  <si>
    <t>1) Inventory Report 2) Excise Document (ER1)3) Stores Entry 4) SAP Entry in MM/PP/SD module</t>
  </si>
  <si>
    <t xml:space="preserve">1) Excise Document 2) Stores receipt 3) SAP Entry in FI/SD Module 4) Annual Report </t>
  </si>
  <si>
    <t xml:space="preserve">1) Energy Management System 2) Equipment List kiln section 3) DPR 4) SAP Entry in MM/PP module  </t>
  </si>
  <si>
    <t>1) Daily Power Report 2) Monthly Power Report 3) DG main energy meter reading record 4) Energy Managemen System data</t>
  </si>
  <si>
    <t>1) Daily Power Report 2) Monthly Power Report 3) DG hour meter reading record 4)  Energy Managemen System data</t>
  </si>
  <si>
    <t>1) Daily Generation Report 2) Monthly Generation Report 3) CPP main energy meter reading record 4) Energy Management System data</t>
  </si>
  <si>
    <t>1) Daily Power Report 2) Monthly Power Report 3) Colony/other main energy meter reading record 4) Energy Managemen System data</t>
  </si>
  <si>
    <t>1) Purchase Order 2) Stores Receipt 3) SAP Entry in MM/PP/FI module 4) Annual Report</t>
  </si>
  <si>
    <t>1)Operator Shift Register 2 Weighfeeder Reading (Kiln Feed) 3) Belt Weigher Reading (Clinker ). 4)  Meter Reading</t>
  </si>
  <si>
    <t>1) Material Order copy and denial document from Mines owner 2) SAP entry in MM/FI module on raw material order 3) DPR 4) MPR</t>
  </si>
  <si>
    <t>1)Lab Cement Test Report 2) DPR 3) MPR 4) SAP Entry in MM/PP module 5) Raw material stock entry (Stores)</t>
  </si>
  <si>
    <t xml:space="preserve"> 1) Log Sheet 2) CCR SCADA Report/ Ternds 3) DPR 4) MPR 5) SAP Entry in MM/PP module</t>
  </si>
  <si>
    <t xml:space="preserve">1)Fuel Weighfeeder 2) Fuel Flow Meter 3) DPR 4) MPR 5) SAP Entry in MM/PP module </t>
  </si>
  <si>
    <t>1)Operator Shift Register 2 Weighfeeder Reading (Clinker/Additives) 3) Belt Weigher Reading (Cement ). 4) Solid Flow Reading 5) Meter Reading</t>
  </si>
  <si>
    <t>1) SLDC Reference No. for planned Stoppages from respective Substation 2) Log book record of Main Electrical Substation of Plant 3) DPR 4) MPR 5) SAP entry in PM module of Electrical department</t>
  </si>
  <si>
    <t>1) Supporting Authentic document from Local district Administration 2) Kiln Log Sheet 3) Kiln operators Report book 4) DPR 5) MPR</t>
  </si>
  <si>
    <t>1)Government Notification or Statutory order 2) Authentic document from plant on effect of kiln production due to policy change 3) DPR 4) MPR 5) SAP Entry on production change</t>
  </si>
  <si>
    <t>1) Log Sheet 2) CCR SCADA Report/ Ternds 3) DPR 4) MPR 5) SAP Entry in PP/SD module 6) Excise record (ER1) 7) Annual Report</t>
  </si>
  <si>
    <t>1) Kiln Log book 2) DPR 3) MPR 4) SAP Entry in PP/MM/FI Module 5) Annual Report 6) Fuel test Certificate (Internal and External) 7) Excise Record</t>
  </si>
  <si>
    <t>1) Kiln Log book 2) DPR 3) MPR 4) SAP Entry in PP/MM/FI Module 5) Annual Report 6) Daily Power Report 7) Monthly Power report 8) Excise Record</t>
  </si>
  <si>
    <t>1) Kiln Log book 2) DPR 3) MPR 4) SAP Entry in PP/MM/FI Module 5) Annual Report 6) Daily Power Report 7) Monthly Power report 8) Excise Record 9) CCR Trends</t>
  </si>
  <si>
    <t>1) DPR 2) MPR 3)  Kiln Log Sheet 4) SAP Entry in MM/PP/FI module 5) Annual Report</t>
  </si>
  <si>
    <t>1) DPR 2) MPR 3)  CPP Log Sheet 4) SAP Entry in MM/PP/FI module 5) Annual Report</t>
  </si>
  <si>
    <t>1) Daily Generation Report 2) Monthly Generation Report 3) DG Log Sheet 4) SAP Entry in MM/PP/FI module 5) Annual Report</t>
  </si>
  <si>
    <t>1) Daily Generation Report 2) Monthly Generation Report 3)  CPP Log Sheet 4) SAP Entry in MM/PP/FI module 5) Annual Report</t>
  </si>
  <si>
    <t>1) DPR 2) MPR 3)  Kiln Log Sheet 4) Cement Mill Log Sheet 5) SAP Entry in MM/PP/FI module 6) Annual Report</t>
  </si>
  <si>
    <t>1) Daily Generation Report 2) Monthly Generation Report 3) GG Log Sheet 4) SAP Entry in MM/PP/FI module 5) Annual Report</t>
  </si>
  <si>
    <t>1) DPR 2) MPR 3) GG Log Sheet 4) SAP Entry in MM/PP/FI module 5) Annual Report</t>
  </si>
  <si>
    <t>Equipment Name</t>
  </si>
  <si>
    <t>Section</t>
  </si>
  <si>
    <t xml:space="preserve">Running Load </t>
  </si>
  <si>
    <t>Hours/ Annum</t>
  </si>
  <si>
    <t>Million kcal/annum</t>
  </si>
  <si>
    <t>Lakh kWH/ Annum</t>
  </si>
  <si>
    <t>Million kcal/Annum</t>
  </si>
  <si>
    <r>
      <rPr>
        <b/>
        <sz val="11"/>
        <color indexed="8"/>
        <rFont val="Calibri"/>
        <family val="2"/>
      </rPr>
      <t xml:space="preserve">External Factor: </t>
    </r>
    <r>
      <rPr>
        <sz val="11"/>
        <color theme="1"/>
        <rFont val="Calibri"/>
        <family val="2"/>
      </rPr>
      <t>Market Demand, Grid Failure (Where CPP is not Sync with Grid), Raw material unavailability, Natural Disaster, Rioting or Social unrest, Major change in government policy hampering plant's process system, Any unforeseen circumstances not controlled by plant management</t>
    </r>
  </si>
  <si>
    <t>Please provide the total annual Electrical Energy Consumption for Hot-Cold Stoppage for kiln due to external factor in Lakh kWh</t>
  </si>
  <si>
    <t>Please provide the total annual Electrical Energy Consumption for Cold-Hot Start for kiln due to external factor in Lakh kWh</t>
  </si>
  <si>
    <t>1) OEM document on designed heat rate 2) OEM document on Specific Fuel consumption in kWh/ltr</t>
  </si>
  <si>
    <t xml:space="preserve">Please provide the electrical energy consumed in Lakh kWh during its commissioning till it attains 70% of the new line capacity utilisation </t>
  </si>
  <si>
    <t>Please provide the Electrical Energy consumed in Lakh kWh from external source during its commissioning till it attains 70% of the new unit capacity utilisation in Power generation</t>
  </si>
  <si>
    <t>Please provide the Electrical Energy Consumption with list of unforeseen circumstances consumed in Lakh kWh claimed for Normalisation</t>
  </si>
  <si>
    <t xml:space="preserve">List of additional Equipment installed due to Environmental Concern after baseline year </t>
  </si>
  <si>
    <t>Electricity Consumption $</t>
  </si>
  <si>
    <t>Thermal Consumption $$</t>
  </si>
  <si>
    <t>$</t>
  </si>
  <si>
    <t>$$</t>
  </si>
  <si>
    <t>Equipment wise Document related to consumption of Liquid Fuel, Solid Fuel Aleterante Fuel is required in support of the claim</t>
  </si>
  <si>
    <t>Equipmenmt wise Energy Meter Reading or Energy Management System Data required in support of the claim</t>
  </si>
  <si>
    <t>Date of Commissioning</t>
  </si>
  <si>
    <t xml:space="preserve">1) Authentic Document in relation to Bio-Mass/Alternate Solid Fuel/Alternate Liquid Fuel availability in the region. 2) Test Certificate of Bio-mass from Government Accredited Lab for GCV in Baseline and assessment year 3) Test Certificate of replaced Fossil Fuel GCV </t>
  </si>
  <si>
    <t>1) EMS 2) Energy Meter 3) Addition Equipment List with capacity and running load 4) Purchase Order document 5) SAP Data in MM module</t>
  </si>
  <si>
    <t>1) Fuel Flow Meter 2) Weigh Feeder 3) Purchase Order document 4) SAP Data in MM module</t>
  </si>
  <si>
    <t>1) EMS 2) Energy Meter 3) Addition Equipment List with capacity and running load  3) Purchase Order document 4) SAP Data in MM module</t>
  </si>
  <si>
    <t>Electrical Rated Capacity</t>
  </si>
  <si>
    <t>Thermal Rated Capacity</t>
  </si>
  <si>
    <t>Total</t>
  </si>
  <si>
    <r>
      <t xml:space="preserve">Please provide the Electrical Energy Consumption with list of additional Equipment installed due to Environmental Concern after baseline year in </t>
    </r>
    <r>
      <rPr>
        <b/>
        <sz val="11"/>
        <color indexed="8"/>
        <rFont val="Calibri"/>
        <family val="2"/>
      </rPr>
      <t>Sheet! Addl Eqp List-Env</t>
    </r>
    <r>
      <rPr>
        <sz val="11"/>
        <color theme="1"/>
        <rFont val="Calibri"/>
        <family val="2"/>
      </rPr>
      <t xml:space="preserve">. </t>
    </r>
  </si>
  <si>
    <t xml:space="preserve">List of Equipment to be filled up </t>
  </si>
  <si>
    <t>Assesment Year 2014-15</t>
  </si>
  <si>
    <t>Project Activity Start Date</t>
  </si>
  <si>
    <t xml:space="preserve">List of Equipment and Energy consumed during project activity up to commissining during the Assessment year  </t>
  </si>
  <si>
    <t>Capacity Utilization (Clinker)*</t>
  </si>
  <si>
    <t>Capacity Utilization (Cement)*</t>
  </si>
  <si>
    <t>Kiln TPH*</t>
  </si>
  <si>
    <t>Kiln Heat Rate*</t>
  </si>
  <si>
    <t>*</t>
  </si>
  <si>
    <t xml:space="preserve">Primary Documents from where the information can be sourced and to be kept ready for verification by Accredited Energy Auditor </t>
  </si>
  <si>
    <t>Secondary Documents from where the information can be sourced and to be kept ready for verification by Accredited Energy Auditor</t>
  </si>
  <si>
    <t>Unforeseen circumstances/Labour Strike/Lockouts/Social Unrest/Riots</t>
  </si>
  <si>
    <t>Lakh kwh</t>
  </si>
  <si>
    <t>Energy to be subtracted w.r.t. Kiln Electrical  Energy Consumption for Kiln SPC</t>
  </si>
  <si>
    <t>P</t>
  </si>
  <si>
    <t>Quantity used for process (Pyro)</t>
  </si>
  <si>
    <t>Annual (As Fired Basis)</t>
  </si>
  <si>
    <t>Investment made for achieving target</t>
  </si>
  <si>
    <t>Million Rs</t>
  </si>
  <si>
    <t>The hard copy/Printouts is to be signed by Authorised signatory, if SAP data is used as documents</t>
  </si>
  <si>
    <t>Additional Clinker produced due to change in  production and additive (PPC)</t>
  </si>
  <si>
    <t>Additional Clinker produced due to change in production and additive (PSC)</t>
  </si>
  <si>
    <t>1) Rated Capacity of new Process/line from OEM 2) Energy Meter Readings and Power Consumption record of process/line  with list of equipment installed from 1st Apr to 31st March</t>
  </si>
  <si>
    <t>1) Rated Capacity of new Process/line from OEM 2) Thermal Energy Consumption record with list of equipment  from DPR/Log book/SAP Entry in PP module</t>
  </si>
  <si>
    <t>1) Rated Capacity of new Process/line from OEM 2) Production record from DPR/Log book/SAP Entry in PP module</t>
  </si>
  <si>
    <t xml:space="preserve">1) Relevant document on Unforeseen Circumstances beyond the control of plant 2) Thermal Energy Consumption record during the said period of unforeseen circumstances  from DPR/Log book/SAP Entry </t>
  </si>
  <si>
    <t>The normalisation is subjected to the amendments in the Notified Rules  G.S.R. 269 (E ) dated 30/03/2012</t>
  </si>
  <si>
    <t>(3)X[(2)-(8)]/10</t>
  </si>
  <si>
    <t>Plant low load hrs due to Internal Factors/ Breakdown in Plant</t>
  </si>
  <si>
    <t>Plant low load hrs due to External Factors like Fuel Unavailability/ Market demand/External Condition</t>
  </si>
  <si>
    <t>Normalization Factor for Capacity Utilization*</t>
  </si>
  <si>
    <r>
      <t xml:space="preserve">Please provide total Annual Production of clinker of all kilns </t>
    </r>
    <r>
      <rPr>
        <sz val="11"/>
        <color theme="1"/>
        <rFont val="Calibri"/>
        <family val="2"/>
      </rPr>
      <t>in Tonnes.</t>
    </r>
  </si>
  <si>
    <t>1) OEM Document of kilns capacity                                         2) Enviromental Consent to establish/operate document</t>
  </si>
  <si>
    <t>1) OEM Document of Process line 2) Enviromental Consent to establish/operate document</t>
  </si>
  <si>
    <t>(v)+(vi)</t>
  </si>
  <si>
    <t>(ii)x(v)/1000</t>
  </si>
  <si>
    <t>(ii)x(vi)/1000</t>
  </si>
  <si>
    <t>((v)+(vi)+(vii)) x(iii)</t>
  </si>
  <si>
    <t>[((v))x(iv)]x(ii)/1000</t>
  </si>
  <si>
    <t>[((vi))x(iv)]x(ii)/1000</t>
  </si>
  <si>
    <t>(iv)+(v)+(vi)</t>
  </si>
  <si>
    <t>(iv)x(ii)/1000</t>
  </si>
  <si>
    <t>(vi)x(ii)/1000</t>
  </si>
  <si>
    <t>[(v)+(vi)+(viii)]x(iv)</t>
  </si>
  <si>
    <t>(viii)x(iv)x(ii)/1000</t>
  </si>
  <si>
    <t>[(v)+(vi)+(vii)]x(iv)</t>
  </si>
  <si>
    <t>(v)x(iv)x(ii)/1000</t>
  </si>
  <si>
    <t>(vi)x(iv)x(ii)/1000</t>
  </si>
  <si>
    <t>Thermal Energy Input used for process through Biomass not to be taken into account</t>
  </si>
  <si>
    <t>Thermal Energy Input used for process through solid waste, mentioned in CPCB guidelines,  not to be taken into account</t>
  </si>
  <si>
    <t>1)Cement Silo Full record from Cement Mill Log book 2)SAP entry in SD and FI module 3) SAP entry in PP module 4) Document related to sales impact of market</t>
  </si>
  <si>
    <t>Weighted Heat Rate of Plant</t>
  </si>
  <si>
    <t>Normalized Weighted Heat Rate</t>
  </si>
  <si>
    <t>if [kiln AY(6)&gt;Kiln BY(6),(kiln AY(6)-Kiln BY(6)xkiln AY(2),(kiln AY(6)-Kiln BY(6)xkiln BY(2)]</t>
  </si>
  <si>
    <t>if [kiln AY(7)&gt;Kiln BY(7),(kiln AY(7)-Kiln BY(7)xkiln AY(2),(kiln AY(7)-Kiln BY(7)xkiln BY(2)]</t>
  </si>
  <si>
    <t>Annual(As Fired Basis)</t>
  </si>
  <si>
    <t>Average Moisture in Fuel</t>
  </si>
  <si>
    <t>Please provide the annual solid fuel moisture % (As Received Basis)</t>
  </si>
  <si>
    <t>1) Daily Internal Report from Lab on Fuel Proximate Analysis performed on each lot. 2) Purchase Order, where guaranteed % moisture range is mentioned</t>
  </si>
  <si>
    <t>MWh</t>
  </si>
  <si>
    <t xml:space="preserve">Renewable Purchase obligation of plant (RPO) (Solar &amp; Non-Solar) </t>
  </si>
  <si>
    <t>Quantum of Energy sold under preferential tariff</t>
  </si>
  <si>
    <t>Renewable Energy generator as approved by MNRE</t>
  </si>
  <si>
    <t xml:space="preserve">Steam Turbine generated Electricity  Consumption  </t>
  </si>
  <si>
    <t>    Clinker to OPC</t>
  </si>
  <si>
    <t>    Clinker to PSC/any other variety cement</t>
  </si>
  <si>
    <t>Purchased Electricity (Sr No 5 ) X {Weighted average heat rate of all DCs in cement sector( 3208 kcal/kWh) - 860}/10</t>
  </si>
  <si>
    <t>(8a)+(8b)+(8c)+(8d)</t>
  </si>
  <si>
    <t>Steam Turbine Net Heat Rate</t>
  </si>
  <si>
    <t xml:space="preserve">Quantum of Renewable Energy Certificates (REC) obtained as a Renewal Energy Generator (Solar &amp; Non-Solar) </t>
  </si>
  <si>
    <t>Please provide Renewal Purchase obligation of plant for the current year in Lakh kWh (Solar and Non-Solar).</t>
  </si>
  <si>
    <t>Please provide Renewal Purchase obligation of plant for the current year in %  (Solar and Non-Solar).</t>
  </si>
  <si>
    <t>Please provide Renewal Purchase obligation of plant for the current year in MW (Solar and Non-Solar).</t>
  </si>
  <si>
    <t>Please provide Renewal Energy Generator Capacity in MW as approved by MNRE</t>
  </si>
  <si>
    <t>Please provide Quantum of Renewable Energy Certificates (REC) obtained as a Renewal Energy Generator (Solar &amp; Non-Solar) in terms of REC equivalnet to 1 MWh</t>
  </si>
  <si>
    <t>Please provide Quantum of Energy sold interms of  preferential tariff under REC Mechanism in MWh</t>
  </si>
  <si>
    <t>1) Renewal Purchase Obligation document</t>
  </si>
  <si>
    <t>1) ‘Certificate for Registration’ to the concerned Applicant as ‘Eligible Entity’ confirming its entitlement to receive Renewable Energy Certificates for the proposed RE Generation
project</t>
  </si>
  <si>
    <t xml:space="preserve">Grid Connected </t>
  </si>
  <si>
    <t>1) Renewable Energy Certificates</t>
  </si>
  <si>
    <t>1) Power Purchase Agreement (PPA) for the capacity related to such generation to sell electricity at preferential tariff determined by the Appropriate Commission</t>
  </si>
  <si>
    <t>Annual(As Received Basis)</t>
  </si>
  <si>
    <t xml:space="preserve">Note: Please do not keep the cell A1-A19 blank </t>
  </si>
  <si>
    <t>Please enter numeric values or leave blank</t>
  </si>
  <si>
    <t>Fomulae Protected</t>
  </si>
  <si>
    <t xml:space="preserve">Please eneter numeric value or "0" </t>
  </si>
  <si>
    <t>(xiii)</t>
  </si>
  <si>
    <t xml:space="preserve">Saving Target in TOE/ton of product as per PAT scheme Notification </t>
  </si>
  <si>
    <t>Equivalent Major Product Output in tonnes as per PAT scheme Notification</t>
  </si>
  <si>
    <t>Tonnes</t>
  </si>
  <si>
    <t>Data not to be filled</t>
  </si>
  <si>
    <t>Select from the list Yes or No</t>
  </si>
  <si>
    <t>tonnes</t>
  </si>
  <si>
    <t>Gate to Gate Energy Consumption after REC compliance</t>
  </si>
  <si>
    <t>Normalized Gate to Gate Specific Energy Consumption after REC compliance</t>
  </si>
  <si>
    <t xml:space="preserve">Target Saving Achieved </t>
  </si>
  <si>
    <t>Renewable Energy Certificate Normalisation</t>
  </si>
  <si>
    <t>Target Saving to be achieved (PAT obligation)</t>
  </si>
  <si>
    <t>Additional Saving achieved (After PAT obligation)</t>
  </si>
  <si>
    <t>Thermal energy conversion for REC and Preferential tariff</t>
  </si>
  <si>
    <t>(xiv)</t>
  </si>
  <si>
    <t>(xv)</t>
  </si>
  <si>
    <t>(xvi)</t>
  </si>
  <si>
    <t>The quantity of exported power ( partially or fully) on which Renewable Energy Certificates have been earned by Designated Consumer in the assessment year under REC mechanism shall  be treated as Exported power and normalization will apply. However, the normalized power export will not qualify for issue of Energy Saving Certificates under PAT Scheme.</t>
  </si>
  <si>
    <t>The quantity of exported power (partially or fully) from Renewable energy which has been sold at a preferential tariff by the Designated consumer in the assessment year under REC mechanism shall be treated as Exported power. However, the normalized power export will not qualify for issue of Energy Saving Certificates under PAT Scheme.</t>
  </si>
  <si>
    <t>Lot,Yearly</t>
  </si>
  <si>
    <t>Lot, Yearly</t>
  </si>
  <si>
    <t>Renewable Energy Certificates Compliance under PAT Scheme</t>
  </si>
  <si>
    <t>Telephone with STD Code</t>
  </si>
  <si>
    <t>Equipment Serial No</t>
  </si>
  <si>
    <t>TOE/Tonnes</t>
  </si>
  <si>
    <t>Thermal Energy to be Normalised for REC and preferential tariff power sell under REC mechanism</t>
  </si>
  <si>
    <t>Please select from drop down list on availability of documents for Capacity Utilization Normalisation</t>
  </si>
  <si>
    <t>Please select from drop down list on availability of documents for Fuel Quality in CPP Normalisation</t>
  </si>
  <si>
    <t>Please select from drop down list on availability of documents for Petcoke Utilization in Kiln Normalisation</t>
  </si>
  <si>
    <t>Please select from drop down list on availability of documents for CPP PLF Normalisation</t>
  </si>
  <si>
    <t>Please select from drop down list on availability of documents for Power Mix Normalisation</t>
  </si>
  <si>
    <t>Please select from drop down list on availability of documents for Product Mix Normalisation</t>
  </si>
  <si>
    <t>Please select from drop down list on availability of documents for Other Factors Normalisation</t>
  </si>
  <si>
    <t>I ……………………………………………….........................…..solemnly declare that to the best of my knowledge the information given in the above summary sheet of  Form 1 there to is correct and complete. I also declare that the information provided for Normalisation is limited to external factors only.</t>
  </si>
  <si>
    <t>I ……………………………………………….........................…..solemnly declare that to the best of my knowledge the information given in the above Form I there to is correct and complete. I also declare that the information provided for Normalisation is limited to external factors only.</t>
  </si>
  <si>
    <t>Others Factors-Document Available for Normalisation</t>
  </si>
  <si>
    <t>NF-1 Power Mix</t>
  </si>
  <si>
    <t>(9) X 10^4</t>
  </si>
  <si>
    <t>(8)BY-(8)AY</t>
  </si>
  <si>
    <t>Total Thermal Energy Used in Power Generation</t>
  </si>
  <si>
    <t>Remarks/ Environmental Law Applicable with Dates</t>
  </si>
  <si>
    <t>kcal/tonne</t>
  </si>
  <si>
    <t>toe/tonne</t>
  </si>
  <si>
    <t xml:space="preserve">Annual </t>
  </si>
  <si>
    <t>(ii)x(vii)*(iv)/1000</t>
  </si>
  <si>
    <t>(3.a)*100/(4)</t>
  </si>
  <si>
    <t>(3.b)*100/(4)</t>
  </si>
  <si>
    <t>(3.c)*100/(4)</t>
  </si>
  <si>
    <t>(3.d)*100/(4)</t>
  </si>
  <si>
    <t>Date of Commissioning (70% Capacity Utilisation) Power Generation</t>
  </si>
  <si>
    <t>Net Electricity Generation till new Line/Unit attains 70% Capacity Utilisation</t>
  </si>
  <si>
    <t>Energy to be added for Power generation of a line /unit till it attains 70% of Capacity Utilisation</t>
  </si>
  <si>
    <t>Kiln-1 Hot to Cold stop due to external factor</t>
  </si>
  <si>
    <t>Kiln-1 Hot to Cold stop due to external factor (Electrical Energy Consumption)</t>
  </si>
  <si>
    <t>(ii)l</t>
  </si>
  <si>
    <t>(iii)l</t>
  </si>
  <si>
    <t>(iv)l</t>
  </si>
  <si>
    <t>(v)l</t>
  </si>
  <si>
    <t>Please provide the net generation in Lakh kwh from the new unit in power generation, used in the Cement Plant till the new unit achieved 70% of Capacity Utilisation</t>
  </si>
  <si>
    <t xml:space="preserve">1) Rated Capacity of new unit from OEM 2) Thermal Energy Consumption record with list of equipment  from DPR/Log book/SAP Entry </t>
  </si>
  <si>
    <t>1) EMS 2) Energy Meter</t>
  </si>
  <si>
    <t>Plant Unavailability hrs due to Planned shutdown, Break down due to internal &amp;  external factor</t>
  </si>
  <si>
    <t>Thermal Energy Saving during the year</t>
  </si>
  <si>
    <t>Electrical energy Saving during the year</t>
  </si>
  <si>
    <t>Lakh kWH</t>
  </si>
  <si>
    <t xml:space="preserve">Weighted Heat Rate </t>
  </si>
  <si>
    <t xml:space="preserve">Weighted Average Heat Rate </t>
  </si>
  <si>
    <t>Q</t>
  </si>
  <si>
    <t>Energy Saving and Investment</t>
  </si>
  <si>
    <t>R</t>
  </si>
  <si>
    <t>Please provide the Thermal Energy savings in Million kcal</t>
  </si>
  <si>
    <t>Please provide the Electrical Energy savings in Million kcal</t>
  </si>
  <si>
    <t>Coal</t>
  </si>
  <si>
    <t>Lignite</t>
  </si>
  <si>
    <t>Petro Coke</t>
  </si>
  <si>
    <t>Solid Fuel</t>
  </si>
  <si>
    <t>Biomass/Waste</t>
  </si>
  <si>
    <t>Liquid Fuel (FO/HSD/LDO/LSHS/HSHS)</t>
  </si>
  <si>
    <t>a.1</t>
  </si>
  <si>
    <t>a.2</t>
  </si>
  <si>
    <t>a.3</t>
  </si>
  <si>
    <t>a.4</t>
  </si>
  <si>
    <t>Kiln-1 Hot to Hot start (Internal &amp; External)</t>
  </si>
  <si>
    <t>Kiln-2 Hot to Hot start (Internal &amp; External)</t>
  </si>
  <si>
    <t>Kiln-3 Hot to Hot start (Internal &amp; External)</t>
  </si>
  <si>
    <t>Kiln-4 Hot to Hot start (Internal &amp; External)</t>
  </si>
  <si>
    <t>Kiln-5 Hot to Hot start (Internal &amp; External)</t>
  </si>
  <si>
    <t>(iv)x(ii)</t>
  </si>
  <si>
    <t>(vi)x(ii)</t>
  </si>
  <si>
    <t>(v)x(ii)</t>
  </si>
  <si>
    <t>STG 1</t>
  </si>
  <si>
    <t>STG2</t>
  </si>
  <si>
    <t>STG3</t>
  </si>
  <si>
    <t>C.2.2.4</t>
  </si>
  <si>
    <t>STG4</t>
  </si>
  <si>
    <t xml:space="preserve">STG </t>
  </si>
  <si>
    <t>C.2.2.5</t>
  </si>
  <si>
    <t>Average Running Load</t>
  </si>
  <si>
    <t>[Fuel Consumed (Lakh Tonne) X GCV of Fuel (Kcal/Kg)] X 100</t>
  </si>
  <si>
    <t>(11)/10000</t>
  </si>
  <si>
    <t>(13)/10000</t>
  </si>
  <si>
    <t>Form-Sb ( General Information)</t>
  </si>
  <si>
    <t>FORM-Sb (Details of Production and Energy Consumption)</t>
  </si>
  <si>
    <t xml:space="preserve">Form-Sb (Base Line Parameters For PAT Scheme) </t>
  </si>
  <si>
    <t>Form-Sb (Summary Sheet )</t>
  </si>
  <si>
    <t>INSTRUCTION FOR FILLING UP THE FORM-Sb &amp; KEEPING RECORDS AND INFORMATION FOR VERIFICATION PROCESS</t>
  </si>
  <si>
    <t>STG5</t>
  </si>
  <si>
    <t>1) Daily Internal Report from Lab on Fuel Proximate Analysis performed on each lot. 2) Test Certificate from Government Accredited lab. (Plant to maintain minimum 1 sample test in a quarter for Proximate and Ultimate Analysis i.e. 4 test certificates in a year for each fuel in case of CPP Fuel, for Process Fuel 1 sample test in a quarter for Proximate Analysis)  3) Purchase Order, where guaranteed GCV range is mentioned</t>
  </si>
  <si>
    <t>One Sample per Quarter</t>
  </si>
  <si>
    <t>One sample per Year</t>
  </si>
  <si>
    <t>Total Plant Availlable Hours per year</t>
  </si>
  <si>
    <t>Plant Loading Factor (PLF)</t>
  </si>
  <si>
    <t>{C.2.2.1  (vii)-C.2.2.1(viii)}/C.2.2.1  (vii)</t>
  </si>
  <si>
    <t>C.2.2.1(x)/[C.2.2.1(ix)+C.2.2.1(x)</t>
  </si>
  <si>
    <t>C.2.2.6</t>
  </si>
  <si>
    <t xml:space="preserve">Total Plant Availlable Hours per year </t>
  </si>
  <si>
    <t>Notified Specific Energy Consumption</t>
  </si>
  <si>
    <t>Target Specific Energy Consumption</t>
  </si>
  <si>
    <t>(xvii)</t>
  </si>
  <si>
    <t>(xviii)</t>
  </si>
  <si>
    <t xml:space="preserve">Note: </t>
  </si>
  <si>
    <t>For Additional Kiln data, DC neeed yto submit the information in separte excel sheet as per above format</t>
  </si>
  <si>
    <t>Form-1</t>
  </si>
  <si>
    <t xml:space="preserve">A. </t>
  </si>
  <si>
    <t>General Details</t>
  </si>
  <si>
    <t xml:space="preserve">Sector and Sub-Sector in which the Designated Consumer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</si>
  <si>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</si>
  <si>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</si>
  <si>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</si>
  <si>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</si>
  <si>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Registered Office address with telephone, fax nos. &amp; e-mail</t>
  </si>
  <si>
    <t xml:space="preserve">Energy Manager's Name, designation, Registration No., Address, Mobile, Telephone, Fax nos. &amp; e-mail </t>
  </si>
  <si>
    <t xml:space="preserve">B. </t>
  </si>
  <si>
    <t>Production details</t>
  </si>
  <si>
    <t>Manufacturing Industries notified as Designated Consumers</t>
  </si>
  <si>
    <t>Products</t>
  </si>
  <si>
    <t>Product (Please add extra rows in case of additional products)</t>
  </si>
  <si>
    <t>Total Equivalent Product</t>
  </si>
  <si>
    <t>Energy Consumption Details of Manufacturing Industries notified as Designated Consumers</t>
  </si>
  <si>
    <t>6. (i)</t>
  </si>
  <si>
    <t>Total Electricity Purchased from Grid/Other Source</t>
  </si>
  <si>
    <t>Million kwh</t>
  </si>
  <si>
    <t>Total Electricity Generated</t>
  </si>
  <si>
    <t xml:space="preserve">Total  Electricity Exported </t>
  </si>
  <si>
    <t>Total Electrical Energy Consumption</t>
  </si>
  <si>
    <t xml:space="preserve">Total Solid Fuel Consumption </t>
  </si>
  <si>
    <t>Total Liquid Fuel Consumption</t>
  </si>
  <si>
    <t>Total Gaseous Fuel Consumption</t>
  </si>
  <si>
    <t>Total Normalized Energy Consumption (Thermal + Electrical)</t>
  </si>
  <si>
    <t>TOE</t>
  </si>
  <si>
    <t>Specific Energy Consumption Details</t>
  </si>
  <si>
    <t>7. i</t>
  </si>
  <si>
    <t>Specific Energy Consumption(Without Normalization)</t>
  </si>
  <si>
    <t>TOE/Tonne</t>
  </si>
  <si>
    <t>ii</t>
  </si>
  <si>
    <t>Specific Energy Consumption (Normalized)</t>
  </si>
  <si>
    <t>Power Plants notified as Designated Consumer</t>
  </si>
  <si>
    <t>8. i.</t>
  </si>
  <si>
    <t>Total Capacity</t>
  </si>
  <si>
    <t>Unit Configuration</t>
  </si>
  <si>
    <t>No. of units with their capacity</t>
  </si>
  <si>
    <t>iii</t>
  </si>
  <si>
    <t xml:space="preserve">Annual Gross Generation </t>
  </si>
  <si>
    <t>MU</t>
  </si>
  <si>
    <t>iv</t>
  </si>
  <si>
    <t xml:space="preserve">Annual Plant Load Factor (PLF) </t>
  </si>
  <si>
    <t>v</t>
  </si>
  <si>
    <t>Station Gross Design Heat Rate</t>
  </si>
  <si>
    <t>vi</t>
  </si>
  <si>
    <t>Station Gross Operative Heat Rate</t>
  </si>
  <si>
    <t>vii</t>
  </si>
  <si>
    <t>viii</t>
  </si>
  <si>
    <t>Operative Net Heat Rate</t>
  </si>
  <si>
    <t>ix</t>
  </si>
  <si>
    <t>Operative Net Heat Rate (Normalized)</t>
  </si>
  <si>
    <t>Sector-Wise Details</t>
  </si>
  <si>
    <t>S.No</t>
  </si>
  <si>
    <t>Name of the Sector</t>
  </si>
  <si>
    <t>Form in which the details to be furnished</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</si>
  <si>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</si>
  <si>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</si>
  <si>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</si>
  <si>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</si>
  <si>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</si>
  <si>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Cement</t>
  </si>
  <si>
    <t>Sb</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</si>
  <si>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</si>
  <si>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</si>
  <si>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</si>
  <si>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</si>
  <si>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</si>
  <si>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</si>
  <si>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</si>
  <si>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</si>
  <si>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</si>
  <si>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</si>
  <si>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</si>
  <si>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</si>
  <si>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</si>
  <si>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</si>
  <si>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</si>
  <si>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</si>
  <si>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</si>
  <si>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</si>
  <si>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</si>
  <si>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</si>
  <si>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</si>
  <si>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</si>
  <si>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Product 1:OPC Production</t>
  </si>
  <si>
    <t>Product 2: PPC Production</t>
  </si>
  <si>
    <t>Product 3: PSC/Others Production</t>
  </si>
  <si>
    <t>Previous Year</t>
  </si>
  <si>
    <t>Current Year</t>
  </si>
  <si>
    <t>SEC of kiln= Total Thermal Energy consumed kiln/Clinker Production, in kcal/kg of Clinker</t>
  </si>
  <si>
    <t>Form1-Sb!C2.2.6.(xiii)</t>
  </si>
  <si>
    <t>Form1-Sb!C2.2.6.(xii)</t>
  </si>
  <si>
    <t>Form1-Sb!H.2</t>
  </si>
  <si>
    <t>Form1-Sb!C2.2.6.(iii)</t>
  </si>
  <si>
    <t>0.0016 x(1)^2-0.3815 x (1)  +21.959</t>
  </si>
  <si>
    <t>(5) X (6) /100</t>
  </si>
  <si>
    <t>(2) X [1-(7)/100]</t>
  </si>
  <si>
    <t>% Difference in Heat Rate between AY and BY at PLF</t>
  </si>
  <si>
    <t>% Increase in Heat rate at PLF</t>
  </si>
  <si>
    <t>% Increase in heat rate in AY [(4) AY]- % Increase in heat rate in BY [(4) BY]</t>
  </si>
  <si>
    <t>Plant Loading Factor (PLF) of CPP as per PAF (Plant Avaialability Factor)</t>
  </si>
  <si>
    <t xml:space="preserve">% Decrease in loading (PLF) due to external factor </t>
  </si>
  <si>
    <t>% Decrease on % increase in Heat Rate  from baseline due to external factor</t>
  </si>
  <si>
    <t>C.1.1.(xii)-C.1.1.(xiii)</t>
  </si>
  <si>
    <t>C.2.2.1 (iii)/VC.2.2.1 (vi)</t>
  </si>
  <si>
    <t>C.2.2.2 (iii)/VC.2.2.2 (vi)</t>
  </si>
  <si>
    <t>{C.2.2.2  (vii)-C.2.2.2(viii)}/C.2.2.2  (vii)</t>
  </si>
  <si>
    <t>C.2.2.2(x)/[C.2.2.2(ix)+C.2.2.2(x)</t>
  </si>
  <si>
    <t>C.2.2.3 (iii)/VC.2.2.3 (vi)</t>
  </si>
  <si>
    <t>{C.2.2.3  (vii)-C.2.2.3(viii)}/C.2.2.3  (vii)</t>
  </si>
  <si>
    <t>C.2.2.3(x)/[C.2.2.3(ix)+C.2.2.3(x)</t>
  </si>
  <si>
    <t>C.2.2.4 (iii)/VC.2.2.4(vi)</t>
  </si>
  <si>
    <t>{C.2.2.4 (vii)-C.2.2.4(viii)}/C.2.2.4 (vii)</t>
  </si>
  <si>
    <t>C.2.2.4(x)/[C.2.2.4(ix)+C.2.2.4(x)</t>
  </si>
  <si>
    <t>C.2.2.5 (iii)/VC.2.2.5(vi)</t>
  </si>
  <si>
    <t>{C.2.2.5 (vii)-C.2.2.5(viii)}/C.2.2.5 (vii)</t>
  </si>
  <si>
    <t>C.2.2.5(x)/[C.2.2.5(ix)+C.2.2.5(x)</t>
  </si>
  <si>
    <t>C.2.2.6 (iii)/VC.2.2.6(vi)</t>
  </si>
  <si>
    <t>Weighted Average of PAF w.r.t. Gross Generation</t>
  </si>
  <si>
    <t>Weighted Average of PLF w.r.t. Gross Generation</t>
  </si>
  <si>
    <t>C.2.2.6(x)/[C.2.2.6(ix)+C.2.2.6(x)</t>
  </si>
  <si>
    <t>Annual Gross Unit Generation</t>
  </si>
  <si>
    <t>C.2.1.(iii)+C.2.26.(iii)+C.2.3.(ii)+C.2.4.(ii)</t>
  </si>
  <si>
    <t>C.4+[If C.5 &gt; C.1(xvi) then (C.5-C.1(xvi))] otherwsie 0</t>
  </si>
  <si>
    <t>if C.5 &gt; C.1.(xvi), C.3-C.4-C.5-C.1.(xvi) otherwise C.1 (xvii) +C.3 -C.4</t>
  </si>
  <si>
    <t>(vi)+(vii)</t>
  </si>
  <si>
    <t>(iii)x(vii)/1000</t>
  </si>
  <si>
    <t>D.1.(x)+D.2.(x)+D.3.(x)+D.4.(x)+D.5.(x)+D.6.(x)+D.7.(x)+D.8.(x)</t>
  </si>
  <si>
    <t>D.1.(ix)+D.2.(ix)+D.3.(ix)+D.4.(ix)+D.5.(ix)+D.6.(ix)++D.7.(ix)+D.8.(ix)+D.9.(viii)++D.10.(viii) otherwise D.9 (viii) and D.10 (viii) are not considered</t>
  </si>
  <si>
    <t>Quantity used for Internal material handling / Transportation (Raw material handling , Loco, etc)</t>
  </si>
  <si>
    <t>Quantity used for Internal Transportation, if any</t>
  </si>
  <si>
    <t>Quantity used for Internal transportation, if any</t>
  </si>
  <si>
    <t>Thermal Energy Used in Internal Transportation (Internal Raw Material handling,Loco etc)</t>
  </si>
  <si>
    <t>[((vii))x(iv)]x(ii)/1000</t>
  </si>
  <si>
    <t>F.1.(ix)+F.2.(viii) +F.1 (ix)</t>
  </si>
  <si>
    <t>E.1.(ix)+E.2.(viii)+E.3.(viii)+E.4.(x)+E.5.(x)+E.6.(ix) otherwise E.6 (v)  not considered</t>
  </si>
  <si>
    <t>E.1.(x)+E.2.(ix)+E.3.(ix)+E.4.(xii)+E.5.(xii)+E.6.(x) otherwsie E.6. (x)</t>
  </si>
  <si>
    <t>E.1.(xi)+E.2.(x)+E.3.(x)+E.4.(xi)+E.5.(xi)+E.4.(xiii)+E.5.(xiii)</t>
  </si>
  <si>
    <t>[E.5 (x)+E.4 (x)+ E.3 (viii)+ E.2 (viii)+ E.1 (ix)+E.6 (ix)]x10/C.2.1.(ii)</t>
  </si>
  <si>
    <t>[(E.1.(x)+E.2.(ix)+E.3.(ix)+E.4.(xii)+E.5.(xii)+E.6.(x))+(D.1.(ix)+D.2.(ix)+D.3.(ix)+D.4.(ix)+D.5.(ix)+D.6.(ix)++D.7.(ix)+D.8.(ix)+D.9.(viii)++D.10.(viii))]x 10/C.2.2.(ii)</t>
  </si>
  <si>
    <t>C.1 (i)+ C.1(ii)+ C.1(iii)</t>
  </si>
  <si>
    <t>if(C.1 (xvi)&gt; C.5 then C.1 (xvi)-C.5 otherwise 0</t>
  </si>
  <si>
    <t>Form I-Sb!H4</t>
  </si>
  <si>
    <t>Form I-Sb!D9.(ii)</t>
  </si>
  <si>
    <t>Form I-Sb!D10.(ii)</t>
  </si>
  <si>
    <t>Form I-Sb!E6.(ii)</t>
  </si>
  <si>
    <t>Form I-Sb!C1.(viii) AY</t>
  </si>
  <si>
    <t>Form I-Sb!C1.(ix) AY</t>
  </si>
  <si>
    <t>Summary Sheet!(13)</t>
  </si>
  <si>
    <t>Form I-Sb!C1.(xiv) AY</t>
  </si>
  <si>
    <t>Form I-Sb!C1.(xv) AY</t>
  </si>
  <si>
    <t>Form I-Sb!L1.(i) x (1)/10+Form1-Sb!L1.(ii)</t>
  </si>
  <si>
    <t>Form I-Sb!L2.(i) x (2)/1000</t>
  </si>
  <si>
    <t>Form I-Sb!L2.(ii) x (2)/1000</t>
  </si>
  <si>
    <t>Form I-Sb!L2.(iii) x (2)/1000</t>
  </si>
  <si>
    <t>Form I-Sb!L3.(i) x (1)/10+Form1-Sb!L3.(ii)</t>
  </si>
  <si>
    <t>Form I-Sb!L4.(i) x (1)/10+Form1-Sb!L4.(ii)</t>
  </si>
  <si>
    <t>Form I-Sb!L4.(v) x (1)/10+Form1-Sb!L1.(vi)</t>
  </si>
  <si>
    <t>Form I-Sb!L5.(i) x (1)/10+Form1-Sb!L5.(ii)</t>
  </si>
  <si>
    <t>Form I-Sb!L4.(vii) x (1)/10</t>
  </si>
  <si>
    <t>(21) X (10) X1000/10^6</t>
  </si>
  <si>
    <t>(23)AY X (10)AY X 1000/10^6</t>
  </si>
  <si>
    <t>(23)AY- (21)BY</t>
  </si>
  <si>
    <t>(24)AY-(22)BY</t>
  </si>
  <si>
    <t>if[(5)AY=0, {(6)AY+(7)AY} X 2717 X 1000/10^6, otherwise {(6)AY+(7)AY} X (5)AY X 1000/10^6]</t>
  </si>
  <si>
    <t>If[(25)&lt;=0,0,Otherwise if{(27)&gt;(26),(26),otherwise(27)}]</t>
  </si>
  <si>
    <t>Summary Sheet!1.a</t>
  </si>
  <si>
    <t>Summary Sheet!1.b</t>
  </si>
  <si>
    <t>Summary Sheet!1.i</t>
  </si>
  <si>
    <t>Summary Sheet!1.j</t>
  </si>
  <si>
    <t>Summary Sheet!1.k</t>
  </si>
  <si>
    <t xml:space="preserve">Clinker used for OPC Production/OPC Produced </t>
  </si>
  <si>
    <t>Summary Sheet!8.f</t>
  </si>
  <si>
    <t>Summary Sheet!8.d</t>
  </si>
  <si>
    <t>Summary Sheet!9.a</t>
  </si>
  <si>
    <t>Summary Sheet!9.b</t>
  </si>
  <si>
    <t>Summary Sheet!9.c</t>
  </si>
  <si>
    <t>Form I-Sb!H.4</t>
  </si>
  <si>
    <t>If (4)BY=0, then (4)AY*{(6)AY-(7)AY} otherwise [{(6)AY-(7)Ay}-{(6)BY-(7)BY}]</t>
  </si>
  <si>
    <t>If (5)BY=0, then (5)AY*{(6)AY-(8)AY} otherwise [{(6)AY-(8)AY}-{(6)BY-(8)BY}]</t>
  </si>
  <si>
    <t>(20)*[(11)AY*1000+(12)AY*(14)AY]/10</t>
  </si>
  <si>
    <t>(17)+(21)</t>
  </si>
  <si>
    <t>FormI-Sb!C.1.(vii)</t>
  </si>
  <si>
    <t>FormI-Sb!C.2.1.(iii)</t>
  </si>
  <si>
    <t>FormI-Sb!C.2.2.6.(iii)</t>
  </si>
  <si>
    <t>FormI-Sb!C.2.3.(ii)</t>
  </si>
  <si>
    <t>FormI-Sb!C.2.4.(ii)</t>
  </si>
  <si>
    <t>FormI-Sb!C.6</t>
  </si>
  <si>
    <t>FormI-Sb!C.8</t>
  </si>
  <si>
    <t>(1.a)</t>
  </si>
  <si>
    <t>(1.b)</t>
  </si>
  <si>
    <t>(1.d)-(2)</t>
  </si>
  <si>
    <t>(1.e)-(2)</t>
  </si>
  <si>
    <t>Base line Parameters!(I)</t>
  </si>
  <si>
    <t>FormI-Sb!H.1</t>
  </si>
  <si>
    <t>FormI-Sb!H.2</t>
  </si>
  <si>
    <t>FormI-Sb!H.3</t>
  </si>
  <si>
    <t>Base line Parameters!(H)</t>
  </si>
  <si>
    <t>FormI-Sb!C.2.2.6.(iv)</t>
  </si>
  <si>
    <t>FormI-Sb!C.2.3.(iii)</t>
  </si>
  <si>
    <t>(3)-(3.e)</t>
  </si>
  <si>
    <t>FormI-Sb!A3</t>
  </si>
  <si>
    <t>FormI-Sb!I.1</t>
  </si>
  <si>
    <t>FormI-Sb!I.2</t>
  </si>
  <si>
    <t>FormI-Sb!H.4</t>
  </si>
  <si>
    <t>if (FormI-Sb!H.5=0 then 0, otherwise FormI-Sb!D.2(x) x 100/FormI-Sb!G.2</t>
  </si>
  <si>
    <t>(2)BY+0.0954 x [(5)AY-(5)BY]</t>
  </si>
  <si>
    <t>(3)BY+0.022 x [(5)AY-(5)BY]</t>
  </si>
  <si>
    <t>(9)AY x (1)AY/10</t>
  </si>
  <si>
    <t>FormI-Sb!K.1</t>
  </si>
  <si>
    <t>FormI-Sb!K.2</t>
  </si>
  <si>
    <t>FormI-Sb!K.3</t>
  </si>
  <si>
    <t>FormI-Sb!K.4</t>
  </si>
  <si>
    <t>(2)BY x [(7)BY/(7)AY]</t>
  </si>
  <si>
    <t>FormI-Sb!B(i).a …B(v).a</t>
  </si>
  <si>
    <t>FormI-Sb!B(i).d …B(v).d</t>
  </si>
  <si>
    <t>FormI-Sb!B(i).j …B(v).j</t>
  </si>
  <si>
    <t>FormI-Sb!B(i).k …B(v).k</t>
  </si>
  <si>
    <t>FormI-Sb!B(i).h …B(v).h</t>
  </si>
  <si>
    <t>(1)AYX(10)AY/1000</t>
  </si>
  <si>
    <t>Details of information regarding Total Energy Consumed and Specific Energy Consumption Per unit of Production (Rule3)</t>
  </si>
  <si>
    <t>(i) Year of Establishment</t>
  </si>
  <si>
    <t>Year 1                (20__-20__)</t>
  </si>
  <si>
    <t>Year 2      (20__-20__)</t>
  </si>
  <si>
    <t>Baseline Year (Average of year1 to Year 3)</t>
  </si>
  <si>
    <t>Current/Assessment /Target Year    (20__-20__)</t>
  </si>
  <si>
    <t>if(1.c&gt;1.b,1.d,1.e, then (1.c)-(2) otherwise (1.c)</t>
  </si>
  <si>
    <t>PPC production</t>
  </si>
  <si>
    <t>C.2.5</t>
  </si>
  <si>
    <t>Power from dedicated Line</t>
  </si>
  <si>
    <t>Power Wheeled throgh dedicated line</t>
  </si>
  <si>
    <t>Annual Wheeled Electricity</t>
  </si>
  <si>
    <t>C2.5 (ii) x C.2.5 (iii)/10</t>
  </si>
  <si>
    <t>Total Energy Consumed</t>
  </si>
  <si>
    <t>G.1+G.2+C.2.5.(iv)</t>
  </si>
  <si>
    <t>1.f</t>
  </si>
  <si>
    <t>Electricity from Dedicated Line</t>
  </si>
  <si>
    <t>3.f</t>
  </si>
  <si>
    <t>Electricity from Dedicated Line consumption</t>
  </si>
  <si>
    <t>Dedicated Line Heat Rate</t>
  </si>
  <si>
    <t xml:space="preserve">Heat Rate of wheeled Electricity from dedicated line </t>
  </si>
  <si>
    <t>(7)/[1-(11)/100]</t>
  </si>
  <si>
    <t>(8)/[1-(12)/100]</t>
  </si>
  <si>
    <t>(9)</t>
  </si>
  <si>
    <t>% share of Dedicated Line</t>
  </si>
  <si>
    <t>(3.f)*100/(4)</t>
  </si>
  <si>
    <t>[(5)AY*(16)BY+(6)AY*(17)BY+(7)AY*(18)BY+(8)AY*(19)BY]+(9)AY*(20)BY/100</t>
  </si>
  <si>
    <t>[(3.a)*(5)+(3.b)*(6)+(3.c)*(7)+(3.d)*(8)]+(3.f)*(9)/(4)</t>
  </si>
  <si>
    <t>[(4)AY]*[(21)AY-(22)AY]/10</t>
  </si>
  <si>
    <t>[(2)AY-(2)BY]*[(13)-(10)AY]</t>
  </si>
  <si>
    <t>(23)+(24)</t>
  </si>
  <si>
    <t>Location of sampling and Fuel consumption for AS FIRED Fuel analysis: After the Mill</t>
  </si>
  <si>
    <t xml:space="preserve">1) Operating Coal Quality- Monthly average of the lots (As Fired Basis),Test Certificate for Coal Analysis including Proximate and Ultimate analysis (Minimum of 1 Samples Test from Government Lab for cross verification quarterly) 2) Location of sampling and Fuel consumption for AS FIRED Fuel analysis: After the Mill
</t>
  </si>
  <si>
    <t>Biomass replacement with Fossil fuel due to Biomass un-availability (used in the process)</t>
  </si>
  <si>
    <t>Alternate Solid Fuel replacement with Fossil fuel due to Alternate Solid Fuel un-availability (used in the process)</t>
  </si>
  <si>
    <t>Alternate Liquid Fuel replacement with Fossil fuel due to Alternate Liquid Fuel un-availability (used in the process)</t>
  </si>
  <si>
    <t>As per Notification S.O.687 ( E)dated 31/03/2012</t>
  </si>
  <si>
    <t>As per Notification S.O.687 ( E)dated 31/03/2013</t>
  </si>
  <si>
    <t>Pleaase provide your Notified Specific Energy Consumption in TOE/T  for Baseline Year</t>
  </si>
  <si>
    <t>Pleaase provide your Target Specific Energy Consumption in TOE/T for Target year</t>
  </si>
  <si>
    <t>Formulae Protected Difference of Notifies SEC and Target SEC (Saving Target)</t>
  </si>
  <si>
    <t>Please fill Equivalent Major Product Output in tonnes as per PAT scheme Notification</t>
  </si>
  <si>
    <t xml:space="preserve">Formula protected ( Total electricty purchased from grid without Colony/Construction power Others) </t>
  </si>
  <si>
    <t>Selection is required from the drop down list for grid connectivity with grid (Yes/No)</t>
  </si>
  <si>
    <t>C.2.2.1/ C.2.2.5</t>
  </si>
  <si>
    <t>Formuale Protected: Average Running Load will be gross generation/Total running hours in  a year</t>
  </si>
  <si>
    <t>Formuale Protected: Weighted Calculation for STG 1-5</t>
  </si>
  <si>
    <t>Power from dedicated line</t>
  </si>
  <si>
    <t>Please provide Power wheeled through dedicated line in MW (average for the year )</t>
  </si>
  <si>
    <t>Hourly,daily,monthly</t>
  </si>
  <si>
    <t>1) Energy Meter reading for nos of hours, 2) Daily Powwer Report</t>
  </si>
  <si>
    <t>Energy Meter</t>
  </si>
  <si>
    <t>Please provide Heat Rate of wheeld imported Electricity in kcal/kWh</t>
  </si>
  <si>
    <t>daily, Monthly</t>
  </si>
  <si>
    <t xml:space="preserve">Formulae Protected: Energy input in Million kcal </t>
  </si>
  <si>
    <t>Please provide the electrical SEC of clinkerization (includes crushing (Inside Boundary), stacking, reclaiming and grinding of raw material, coal grinding, Pyro-processing and related utilities) in kWh/Ton of product and clinker.</t>
  </si>
  <si>
    <t>Formula protected ( Total HSD/LDO thermal energy used in Internal Transportation (Internal Raw Material handling,Loco etc))</t>
  </si>
  <si>
    <t>Formula protected ( Total NG thermal energy used in  Internal Transportation (Internal Raw Material handling,Loco etc)</t>
  </si>
  <si>
    <t>Weighted heat rate w.r.t. generation and power source</t>
  </si>
  <si>
    <t>Formula protected [Total thermal energy  of all input fuels ( Solid, Liquid and Gaseous) used in power generation and process heating] and Imported Energy through dedicated line</t>
  </si>
  <si>
    <t xml:space="preserve">Formula Protected: weighted average gross heat rate </t>
  </si>
  <si>
    <r>
      <t xml:space="preserve">Please provide the Electrical Energy Consumption with list of Project Activites and energy consumed during project activities treated as Construction phase in Lakh kwh </t>
    </r>
    <r>
      <rPr>
        <b/>
        <sz val="11"/>
        <color indexed="8"/>
        <rFont val="Calibri"/>
        <family val="2"/>
      </rPr>
      <t>(The Energy is not to be inlcuded in C.5) Ref: Sheet!Project Activity List</t>
    </r>
  </si>
  <si>
    <t xml:space="preserve">Please provide the Thermal Energy Consumption with list of additional Equipment installed due to Environmental Concern after baseline year in Sheet! Addl Eqp List-Env. </t>
  </si>
  <si>
    <r>
      <t xml:space="preserve">Please provide the Thermal Energy Consumption with list of Project Activites and energy consumed during project activities treated as Construction phase in Million kcal converted from different fuel </t>
    </r>
    <r>
      <rPr>
        <b/>
        <sz val="11"/>
        <color indexed="8"/>
        <rFont val="Calibri"/>
        <family val="2"/>
      </rPr>
      <t>Ref: Sheet!Project Activity List</t>
    </r>
  </si>
  <si>
    <t>Electricity Exported to Grid/Colony/Others from CPP</t>
  </si>
  <si>
    <t>C.2.2.1(iii) x 10^4/C.2.2.1(ii)*C.2.2.1  (vii)* C.2.2.1 (xii)</t>
  </si>
  <si>
    <t>C.2.2.2(iii) x 10^4/C.2.2.2(ii)*C.2.2.2 (vii)* C.2.2.2 (xii)</t>
  </si>
  <si>
    <t>C.2.2.3(iii) x 10^4/C.2.2.3(ii)*C.2.2.3 (vii)* C.2.2.3 (xii)</t>
  </si>
  <si>
    <t>C.2.2.4(iii) x 10^4/C.2.2.4(ii)*C.2.2.4 (vii)* C.2.2.4 (xii)</t>
  </si>
  <si>
    <t>C.2.2.5(iii) x 10^4/C.2.2.5(ii)*C.2.2.5 (vii)* C.2.2.5 (xii)</t>
  </si>
  <si>
    <t>Please provide in Rs Million the year wise Investment made towards Energy saving Projects</t>
  </si>
  <si>
    <t>1) Kiln Log sheet  2) DPR 3) MPR 4) Refer Sr. No: P 5) CCR Trends</t>
  </si>
  <si>
    <t>1) Log Sheet 2) CCR SCADA Report/ Trends 3) DPR 4) MPR 5) SAP Entry in PP/SD module 6) Excise record (ER1) 7) Annual Report</t>
  </si>
  <si>
    <t>1) field Inventory</t>
  </si>
  <si>
    <t>1)Silo Level 2) Feeding Weigh feeders 3) Belt Weigher 4) Solid flow meter</t>
  </si>
  <si>
    <t>1) Energy Meter Reading for Kiln Section 2) Kiln Log sheet   3) DPR 4) MPR 5) Refer Sr. No: P 6) CCR SCADA Trends</t>
  </si>
  <si>
    <t>1) Kiln Log sheet  2) Kiln Shift operator's Log Register 3) DPR 4) MPR 5) Refer Sr. No: P 6) CCR SADA Trends</t>
  </si>
  <si>
    <t>1) Kiln Log sheet  2) Kiln Shift operator's Log Register 3) DPR 4) MPR 5) Refer Sr. No: P 6) CCR Trends</t>
  </si>
  <si>
    <t>1) Energy Meter Reading for Kiln Section 2) Kiln Log sheet  3) DPR 4) MPR 5) Refer Sr. No: P 6) CCR Trends</t>
  </si>
  <si>
    <t>1) Kiln Log sheet  2) Kiln Shift operator's Log Register 3) DPR 4) MPR 5) Refer Sr. No: P  6) CCR Trends</t>
  </si>
  <si>
    <t>1) DGR 2) MGR 3)  CPP Log Sheet 4) SAP Entry in MM/PP/FI module 5) Annual Report</t>
  </si>
  <si>
    <t>1) Notification S.O.687 ( E)dated 31/03/2012</t>
  </si>
  <si>
    <t>1) Notification S.O.687 ( E)dated 31/03/2013</t>
  </si>
  <si>
    <t>Electricity from Grid / Other (Including Colony and Others) / Renewable Purchase obligation/Notified Figures</t>
  </si>
  <si>
    <t>1) Daily Generation Report 2) Monthly Generation Report 3) WHR main energy meter reading record 4) Energy Management System data</t>
  </si>
  <si>
    <t>1) CPP Log Sheet 2) Operaters log Register 3) Daily generation Report 4) Monthly Generation Report 5)  Energy Management System data 6)Refer Sr. No: N</t>
  </si>
  <si>
    <t>Pleaase provide Electricity wheeled in a year in lakh kWh</t>
  </si>
  <si>
    <t>1) Daily Power Report 2) Monthly Power Report 3) CPP main energy meter reading record 4) Energy Management System data</t>
  </si>
  <si>
    <t>1) Daily Generation Report 2) Monthly Generation  Report 3)  Energy Management System data</t>
  </si>
  <si>
    <t>1) Test report from Supplier 2) Internal Test Report from lab 3) Test report from Government Accredited Lab 4) Standard Value as per Notification</t>
  </si>
  <si>
    <t>1) Test report from Supplier 2) Test report from Government Accredited Lab 3) Standard Value as per Notification</t>
  </si>
  <si>
    <t>1) Daily Power Report 2) Monthly Power Report 3) Export main energy meter reading record 4) Energy Management System data 5) Monthly Export bill receipt sent  to utility</t>
  </si>
  <si>
    <t>Please provide the annual furnace oil quantity purchase in kilo Litres.</t>
  </si>
  <si>
    <t>Please provide the furnace oil quantity consumed in DG set for power generation in kilo Litres.</t>
  </si>
  <si>
    <t>Please provide the furnace oil quantity consumed in CPP for power generation in kilo Litres.</t>
  </si>
  <si>
    <t>Please provide the furnace oil quantity used in process heating (including Pyro-processing and cement mill Hot Air Generator) in kilo Litres.</t>
  </si>
  <si>
    <t>Please provide the annual HSD/LDO quantity purchase in kilo Litres.</t>
  </si>
  <si>
    <t>Please provide the HSD/LDO quantity used in DG set for power generation in kilo Litres.</t>
  </si>
  <si>
    <t>Please provide the HSD/LDO quantity used in CPP for power generation in kilo Litres.</t>
  </si>
  <si>
    <t>Please provide the HSD/LDO quantity used in Transportation, if any  in kilo Litres.</t>
  </si>
  <si>
    <t>Please provide the HSD/LDO quantity used in process heating  in kilo Litres.</t>
  </si>
  <si>
    <t>Please provide the annual liquid waste quantity purchase in kilo Litres.</t>
  </si>
  <si>
    <t>Please provide the liquid waste quantity consumed in DG set for power generation in kilo Litres.</t>
  </si>
  <si>
    <t>Please provide the liquid waste quantity consumed in CPP for power generation in kilo Litres.</t>
  </si>
  <si>
    <t>Please provide the liquid waste quantity consumed in process heating  in kilo Litres.</t>
  </si>
  <si>
    <t>(10d)/{(8f)*100} for Clinkerization Units (10d)/{(1a)*100}</t>
  </si>
  <si>
    <t>(12f)/{(8f)*100} for Clinkerization Units (12f)/{(1a)*100}</t>
  </si>
  <si>
    <t>Kiln Start/Stop</t>
  </si>
  <si>
    <t>1) Undertaking from Competent Authority 2) Document of Synchronisation from DSCOM</t>
  </si>
  <si>
    <t>Formula protected (Total liquid waste used in DG, CPP and process heating multiplied by the density)</t>
  </si>
  <si>
    <t>Please fill the data as per colour coding provided  at the bottom of Form Sb</t>
  </si>
  <si>
    <t>(ii) Registration No (As provided by BEE)</t>
  </si>
  <si>
    <t>Signature:-</t>
  </si>
  <si>
    <t xml:space="preserve">Name of Energy Manager: </t>
  </si>
  <si>
    <t>Registration Number:</t>
  </si>
  <si>
    <t>Full Address:-</t>
  </si>
  <si>
    <t>Seal</t>
  </si>
  <si>
    <t>PPC</t>
  </si>
  <si>
    <t>Notified Specific Energy Consumption (Baseline)</t>
  </si>
  <si>
    <t>Baseline Normalisation</t>
  </si>
  <si>
    <t>(13.1)-(14)</t>
  </si>
  <si>
    <t>Form-Sb</t>
  </si>
  <si>
    <t>1) Lab Register on Fuel Testing for Proximate Analysis 2) Callibration Record of instrument used for testing  3) Lab register 4) Lab analysis prcedure documents 5) Sampling methodology document</t>
  </si>
  <si>
    <t xml:space="preserve">1) Power Purchase Agreement 2) DGR of Sister concered from where the power is wheeled 3) Heat Rate calculation of wheeled power 4) Annual report of CPP </t>
  </si>
  <si>
    <t>1) Separate Energy Meter Reading 2) Daily and Monthly Power Report 3) Transmission Line details document 4) Permission document from SEBs</t>
  </si>
  <si>
    <t xml:space="preserve">1) Primary document from the sister concern 2) Excise document of purchased electricty 3) Energy Meter reading 4) EnergyManagement System </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</si>
  <si>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</si>
  <si>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Item</t>
  </si>
  <si>
    <t xml:space="preserve">Previous Year </t>
  </si>
  <si>
    <t xml:space="preserve">Current Year </t>
  </si>
  <si>
    <t>(1)</t>
  </si>
  <si>
    <t>(2)</t>
  </si>
  <si>
    <t>(3)</t>
  </si>
  <si>
    <t>NA</t>
  </si>
  <si>
    <t>Please provide annual available hours of respecitive unit. Ex. If a unit commissions on 1st Oct, then avaialble hour fro the year will be 4380 hours</t>
  </si>
  <si>
    <t>Sum of three years 2012-15 for Assessment year data entry</t>
  </si>
  <si>
    <t>Signature of Energy Manager</t>
  </si>
  <si>
    <t xml:space="preserve">Name </t>
  </si>
  <si>
    <t>Year 3 /Previous Year (20.... 20...)</t>
  </si>
  <si>
    <t>It is mandatary to fill all the fields of Excel Sheets- General Information, Form Sb, Annex Addl Eqp List-Env, Annex Project Activities List</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</si>
  <si>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</si>
  <si>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</si>
  <si>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Name of Authorised Signatory</t>
  </si>
  <si>
    <t>Name of the Designated Consumer:</t>
  </si>
  <si>
    <t xml:space="preserve">Kiln-5 Cold to Hot start due to internal factors </t>
  </si>
  <si>
    <t>(20__-20__)</t>
  </si>
  <si>
    <t>(2007-2008)</t>
  </si>
  <si>
    <t>(2008-2009)</t>
  </si>
  <si>
    <t>(2009-2010)</t>
  </si>
  <si>
    <t>If selected "No" then an Undertaking from competent authority shall be provided</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</si>
</sst>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00"/>
    <numFmt numFmtId="172" formatCode="0.000000"/>
    <numFmt numFmtId="173" formatCode="0.00000"/>
    <numFmt numFmtId="174" formatCode="0.00000000"/>
  </numFmts>
  <fonts count="105">
    <font>
      <sz val="11"/>
      <color theme="1"/>
      <name val="Calibri"/>
      <family val="2"/>
    </font>
    <font>
      <sz val="11"/>
      <color indexed="8"/>
      <name val="Calibri"/>
      <family val="2"/>
    </font>
    <font>
      <sz val="8"/>
      <name val="Calibri"/>
      <family val="2"/>
    </font>
    <font>
      <sz val="9"/>
      <name val="Tahoma"/>
      <family val="2"/>
    </font>
    <font>
      <b/>
      <sz val="9"/>
      <name val="Tahoma"/>
      <family val="2"/>
    </font>
    <font>
      <b/>
      <sz val="11"/>
      <color indexed="8"/>
      <name val="Calibri"/>
      <family val="2"/>
    </font>
    <font>
      <b/>
      <sz val="11"/>
      <color indexed="8"/>
      <name val="Arial"/>
      <family val="2"/>
    </font>
    <font>
      <sz val="11"/>
      <color indexed="8"/>
      <name val="Arial"/>
      <family val="2"/>
    </font>
    <font>
      <vertAlign val="subscript"/>
      <sz val="11"/>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3"/>
      <color indexed="8"/>
      <name val="Calibri"/>
      <family val="2"/>
    </font>
    <font>
      <b/>
      <sz val="13"/>
      <color indexed="8"/>
      <name val="Calibri"/>
      <family val="2"/>
    </font>
    <font>
      <sz val="11"/>
      <name val="Calibri"/>
      <family val="2"/>
    </font>
    <font>
      <b/>
      <sz val="10"/>
      <color indexed="8"/>
      <name val="Calibri"/>
      <family val="2"/>
    </font>
    <font>
      <b/>
      <sz val="12"/>
      <color indexed="8"/>
      <name val="Calibri"/>
      <family val="2"/>
    </font>
    <font>
      <b/>
      <i/>
      <sz val="11"/>
      <color indexed="8"/>
      <name val="Calibri"/>
      <family val="2"/>
    </font>
    <font>
      <b/>
      <sz val="11"/>
      <name val="Calibri"/>
      <family val="2"/>
    </font>
    <font>
      <sz val="18"/>
      <color indexed="8"/>
      <name val="Calibri"/>
      <family val="2"/>
    </font>
    <font>
      <sz val="14"/>
      <color indexed="8"/>
      <name val="Calibri"/>
      <family val="2"/>
    </font>
    <font>
      <sz val="10"/>
      <color indexed="8"/>
      <name val="Calibri"/>
      <family val="2"/>
    </font>
    <font>
      <sz val="9"/>
      <color indexed="8"/>
      <name val="Calibri"/>
      <family val="2"/>
    </font>
    <font>
      <sz val="9"/>
      <name val="Calibri"/>
      <family val="2"/>
    </font>
    <font>
      <b/>
      <sz val="9"/>
      <color indexed="8"/>
      <name val="Calibri"/>
      <family val="2"/>
    </font>
    <font>
      <sz val="10"/>
      <name val="Calibri"/>
      <family val="2"/>
    </font>
    <font>
      <b/>
      <sz val="12"/>
      <color indexed="8"/>
      <name val="Cambria"/>
      <family val="1"/>
    </font>
    <font>
      <b/>
      <sz val="11"/>
      <color indexed="8"/>
      <name val="Cambria"/>
      <family val="1"/>
    </font>
    <font>
      <b/>
      <sz val="10"/>
      <color indexed="8"/>
      <name val="Cambria"/>
      <family val="1"/>
    </font>
    <font>
      <sz val="11"/>
      <color indexed="8"/>
      <name val="Cambria"/>
      <family val="1"/>
    </font>
    <font>
      <b/>
      <sz val="11"/>
      <color indexed="17"/>
      <name val="Calibri"/>
      <family val="2"/>
    </font>
    <font>
      <b/>
      <sz val="16"/>
      <color indexed="8"/>
      <name val="Calibri"/>
      <family val="2"/>
    </font>
    <font>
      <b/>
      <sz val="11"/>
      <color indexed="10"/>
      <name val="Calibri"/>
      <family val="2"/>
    </font>
    <font>
      <b/>
      <sz val="20"/>
      <color indexed="9"/>
      <name val="Calibri"/>
      <family val="2"/>
    </font>
    <font>
      <b/>
      <sz val="18"/>
      <color indexed="8"/>
      <name val="Calibri"/>
      <family val="2"/>
    </font>
    <font>
      <b/>
      <sz val="26"/>
      <color indexed="9"/>
      <name val="Calibri"/>
      <family val="2"/>
    </font>
    <font>
      <b/>
      <sz val="26"/>
      <color indexed="8"/>
      <name val="Calibri"/>
      <family val="2"/>
    </font>
    <font>
      <b/>
      <sz val="18"/>
      <name val="Calibri"/>
      <family val="2"/>
    </font>
    <font>
      <b/>
      <sz val="22"/>
      <color indexed="9"/>
      <name val="Calibri"/>
      <family val="2"/>
    </font>
    <font>
      <sz val="18"/>
      <color indexed="9"/>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1"/>
      <name val="Calibri"/>
      <family val="2"/>
    </font>
    <font>
      <b/>
      <sz val="13"/>
      <color theme="1"/>
      <name val="Calibri"/>
      <family val="2"/>
    </font>
    <font>
      <b/>
      <sz val="10"/>
      <color theme="1"/>
      <name val="Calibri"/>
      <family val="2"/>
    </font>
    <font>
      <b/>
      <sz val="12"/>
      <color theme="1"/>
      <name val="Calibri"/>
      <family val="2"/>
    </font>
    <font>
      <sz val="18"/>
      <color theme="1"/>
      <name val="Calibri"/>
      <family val="2"/>
    </font>
    <font>
      <sz val="14"/>
      <color theme="1"/>
      <name val="Calibri"/>
      <family val="2"/>
    </font>
    <font>
      <sz val="10"/>
      <color theme="1"/>
      <name val="Calibri"/>
      <family val="2"/>
    </font>
    <font>
      <sz val="11"/>
      <color rgb="FF000000"/>
      <name val="Calibri"/>
      <family val="2"/>
    </font>
    <font>
      <b/>
      <i/>
      <sz val="11"/>
      <color theme="1"/>
      <name val="Calibri"/>
      <family val="2"/>
    </font>
    <font>
      <sz val="9"/>
      <color theme="1"/>
      <name val="Calibri"/>
      <family val="2"/>
    </font>
    <font>
      <sz val="11"/>
      <color rgb="FF000000"/>
      <name val="Arial"/>
      <family val="2"/>
    </font>
    <font>
      <b/>
      <sz val="11"/>
      <color rgb="FF000000"/>
      <name val="Arial"/>
      <family val="2"/>
    </font>
    <font>
      <sz val="11"/>
      <color theme="1"/>
      <name val="Arial"/>
      <family val="2"/>
    </font>
    <font>
      <b/>
      <sz val="9"/>
      <color theme="1"/>
      <name val="Calibri"/>
      <family val="2"/>
    </font>
    <font>
      <b/>
      <sz val="12"/>
      <color rgb="FF000000"/>
      <name val="Cambria"/>
      <family val="1"/>
    </font>
    <font>
      <b/>
      <sz val="11"/>
      <color rgb="FF000000"/>
      <name val="Cambria"/>
      <family val="1"/>
    </font>
    <font>
      <b/>
      <sz val="10"/>
      <color rgb="FF000000"/>
      <name val="Cambria"/>
      <family val="1"/>
    </font>
    <font>
      <sz val="11"/>
      <color theme="1"/>
      <name val="Cambria"/>
      <family val="1"/>
    </font>
    <font>
      <b/>
      <sz val="11"/>
      <color theme="1"/>
      <name val="Cambria"/>
      <family val="1"/>
    </font>
    <font>
      <sz val="11"/>
      <color rgb="FF00B050"/>
      <name val="Calibri"/>
      <family val="2"/>
    </font>
    <font>
      <b/>
      <sz val="11"/>
      <color rgb="FF00B050"/>
      <name val="Calibri"/>
      <family val="2"/>
    </font>
    <font>
      <b/>
      <sz val="20"/>
      <color theme="0"/>
      <name val="Calibri"/>
      <family val="2"/>
    </font>
    <font>
      <b/>
      <sz val="16"/>
      <color theme="1"/>
      <name val="Calibri"/>
      <family val="2"/>
    </font>
    <font>
      <b/>
      <sz val="11"/>
      <color rgb="FFFF0000"/>
      <name val="Calibri"/>
      <family val="2"/>
    </font>
    <font>
      <b/>
      <sz val="18"/>
      <color theme="1"/>
      <name val="Calibri"/>
      <family val="2"/>
    </font>
    <font>
      <b/>
      <sz val="26"/>
      <color theme="0"/>
      <name val="Calibri"/>
      <family val="2"/>
    </font>
    <font>
      <b/>
      <sz val="26"/>
      <color theme="1"/>
      <name val="Calibri"/>
      <family val="2"/>
    </font>
    <font>
      <b/>
      <sz val="22"/>
      <color theme="0"/>
      <name val="Calibri"/>
      <family val="2"/>
    </font>
    <font>
      <sz val="18"/>
      <color theme="0"/>
      <name val="Calibri"/>
      <family val="2"/>
    </font>
    <font>
      <b/>
      <sz val="18"/>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45"/>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99CC"/>
        <bgColor indexed="64"/>
      </patternFill>
    </fill>
    <fill>
      <patternFill patternType="solid">
        <fgColor rgb="FF0070C0"/>
        <bgColor indexed="64"/>
      </patternFill>
    </fill>
    <fill>
      <patternFill patternType="solid">
        <fgColor rgb="FF00206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medium"/>
      <right/>
      <top style="medium"/>
      <bottom/>
    </border>
    <border>
      <left style="medium"/>
      <right style="medium"/>
      <top style="medium"/>
      <bottom/>
    </border>
    <border>
      <left style="thin"/>
      <right style="thin"/>
      <top/>
      <bottom style="thin"/>
    </border>
    <border>
      <left style="medium"/>
      <right style="medium"/>
      <top style="medium"/>
      <bottom style="medium"/>
    </border>
    <border>
      <left/>
      <right style="medium"/>
      <top/>
      <bottom/>
    </border>
    <border>
      <left style="medium"/>
      <right/>
      <top style="medium"/>
      <bottom style="medium"/>
    </border>
    <border>
      <left style="medium"/>
      <right style="thin"/>
      <top style="thin"/>
      <bottom style="thin"/>
    </border>
    <border>
      <left style="medium"/>
      <right/>
      <top style="thin"/>
      <bottom style="thin"/>
    </border>
    <border>
      <left style="medium"/>
      <right/>
      <top/>
      <bottom/>
    </border>
    <border>
      <left/>
      <right/>
      <top style="medium"/>
      <bottom/>
    </border>
    <border>
      <left/>
      <right style="medium"/>
      <top style="medium"/>
      <bottom/>
    </border>
    <border>
      <left style="thin"/>
      <right style="medium"/>
      <top style="thin"/>
      <bottom style="thin"/>
    </border>
    <border>
      <left style="medium"/>
      <right/>
      <top style="thin"/>
      <bottom/>
    </border>
    <border>
      <left style="medium"/>
      <right/>
      <top/>
      <bottom style="thin"/>
    </border>
    <border>
      <left style="medium"/>
      <right style="thin"/>
      <top/>
      <bottom style="thin"/>
    </border>
    <border>
      <left/>
      <right style="thin"/>
      <top style="thin"/>
      <bottom/>
    </border>
    <border>
      <left style="medium"/>
      <right/>
      <top style="thin"/>
      <bottom style="medium"/>
    </border>
    <border>
      <left style="medium"/>
      <right style="thin"/>
      <top style="thin"/>
      <bottom style="medium"/>
    </border>
    <border>
      <left style="thin"/>
      <right style="thin"/>
      <top style="thin"/>
      <bottom style="medium"/>
    </border>
    <border>
      <left/>
      <right/>
      <top/>
      <bottom style="medium"/>
    </border>
    <border>
      <left/>
      <right style="medium"/>
      <top/>
      <bottom style="medium"/>
    </border>
    <border>
      <left/>
      <right/>
      <top style="medium"/>
      <bottom style="thin"/>
    </border>
    <border>
      <left/>
      <right style="medium"/>
      <top style="medium"/>
      <bottom style="thin"/>
    </border>
    <border>
      <left style="thin"/>
      <right style="medium"/>
      <top/>
      <bottom style="thin"/>
    </border>
    <border>
      <left style="medium"/>
      <right/>
      <top/>
      <bottom style="medium"/>
    </border>
    <border>
      <left/>
      <right/>
      <top style="thin"/>
      <bottom style="thin"/>
    </border>
    <border>
      <left style="thin"/>
      <right/>
      <top style="thin"/>
      <bottom style="thin"/>
    </border>
    <border>
      <left style="medium"/>
      <right style="medium"/>
      <top/>
      <bottom style="medium"/>
    </border>
    <border>
      <left style="thin"/>
      <right style="thin"/>
      <top/>
      <bottom/>
    </border>
    <border>
      <left style="medium"/>
      <right style="thin"/>
      <top style="thin"/>
      <bottom/>
    </border>
    <border>
      <left style="thin"/>
      <right style="thin"/>
      <top/>
      <bottom style="medium"/>
    </border>
    <border>
      <left style="medium"/>
      <right style="thin"/>
      <top/>
      <bottom/>
    </border>
    <border>
      <left style="medium"/>
      <right style="medium"/>
      <top style="medium"/>
      <bottom style="thin"/>
    </border>
    <border>
      <left style="medium"/>
      <right style="medium"/>
      <top style="thin"/>
      <bottom style="thin"/>
    </border>
    <border>
      <left style="thin"/>
      <right style="medium"/>
      <top style="thin"/>
      <bottom/>
    </border>
    <border>
      <left style="medium"/>
      <right style="medium"/>
      <top/>
      <bottom/>
    </border>
    <border>
      <left style="thin"/>
      <right style="medium"/>
      <top/>
      <bottom/>
    </border>
    <border>
      <left style="thin"/>
      <right style="medium"/>
      <top style="thin"/>
      <bottom style="medium"/>
    </border>
    <border>
      <left style="medium"/>
      <right/>
      <top style="medium"/>
      <bottom style="thin"/>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top style="medium"/>
      <bottom style="medium"/>
    </border>
    <border>
      <left/>
      <right style="medium"/>
      <top style="medium"/>
      <bottom style="medium"/>
    </border>
    <border>
      <left/>
      <right style="thin"/>
      <top style="medium"/>
      <bottom style="thin"/>
    </border>
    <border>
      <left style="thin"/>
      <right/>
      <top style="thin"/>
      <bottom/>
    </border>
    <border>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048">
    <xf numFmtId="0" fontId="0" fillId="0" borderId="0" xfId="0" applyFont="1" applyAlignment="1">
      <alignment/>
    </xf>
    <xf numFmtId="0" fontId="0" fillId="0" borderId="0" xfId="0"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xf>
    <xf numFmtId="0" fontId="0" fillId="0" borderId="0" xfId="0" applyAlignment="1">
      <alignment vertical="top"/>
    </xf>
    <xf numFmtId="0" fontId="0" fillId="0" borderId="10" xfId="0" applyFont="1" applyBorder="1" applyAlignment="1">
      <alignment horizontal="center"/>
    </xf>
    <xf numFmtId="0" fontId="72" fillId="33" borderId="10" xfId="0" applyFont="1" applyFill="1" applyBorder="1" applyAlignment="1">
      <alignment horizontal="center" vertical="top" wrapText="1"/>
    </xf>
    <xf numFmtId="0" fontId="72" fillId="33" borderId="10" xfId="0" applyFont="1" applyFill="1" applyBorder="1" applyAlignment="1">
      <alignment vertical="top" wrapText="1"/>
    </xf>
    <xf numFmtId="0" fontId="72" fillId="0" borderId="0" xfId="0" applyFont="1" applyAlignment="1">
      <alignment vertical="top" wrapText="1"/>
    </xf>
    <xf numFmtId="0" fontId="72" fillId="33" borderId="10" xfId="0" applyFont="1" applyFill="1" applyBorder="1" applyAlignment="1">
      <alignment horizontal="center" vertical="top"/>
    </xf>
    <xf numFmtId="0" fontId="72" fillId="33" borderId="10" xfId="0" applyFont="1" applyFill="1" applyBorder="1" applyAlignment="1">
      <alignment vertical="top"/>
    </xf>
    <xf numFmtId="0" fontId="72" fillId="0" borderId="0" xfId="0" applyFont="1" applyAlignment="1">
      <alignment vertical="top"/>
    </xf>
    <xf numFmtId="0" fontId="0" fillId="0" borderId="0" xfId="0" applyFont="1" applyAlignment="1">
      <alignment vertical="center"/>
    </xf>
    <xf numFmtId="0" fontId="72" fillId="34" borderId="10" xfId="0" applyFont="1" applyFill="1" applyBorder="1" applyAlignment="1">
      <alignment horizontal="center" vertical="center"/>
    </xf>
    <xf numFmtId="0" fontId="72" fillId="34" borderId="10" xfId="0" applyFont="1" applyFill="1" applyBorder="1" applyAlignment="1">
      <alignment horizontal="left" vertical="center"/>
    </xf>
    <xf numFmtId="0" fontId="72" fillId="34" borderId="10" xfId="0" applyFont="1" applyFill="1" applyBorder="1" applyAlignment="1">
      <alignment horizontal="center" vertical="center" wrapText="1"/>
    </xf>
    <xf numFmtId="0" fontId="0" fillId="0" borderId="10" xfId="0" applyFont="1" applyBorder="1" applyAlignment="1">
      <alignment horizontal="left" vertical="center"/>
    </xf>
    <xf numFmtId="2"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35" borderId="11" xfId="0" applyFont="1" applyFill="1" applyBorder="1" applyAlignment="1" applyProtection="1">
      <alignment vertical="center" wrapText="1"/>
      <protection locked="0"/>
    </xf>
    <xf numFmtId="0" fontId="0" fillId="0" borderId="10" xfId="0" applyFont="1" applyBorder="1" applyAlignment="1">
      <alignment vertical="center"/>
    </xf>
    <xf numFmtId="166" fontId="0" fillId="0" borderId="10" xfId="0" applyNumberFormat="1" applyFont="1" applyBorder="1" applyAlignment="1">
      <alignment horizontal="center" vertical="center"/>
    </xf>
    <xf numFmtId="0" fontId="72" fillId="34" borderId="10" xfId="0" applyFont="1" applyFill="1" applyBorder="1" applyAlignment="1">
      <alignment horizontal="left" vertical="center" wrapText="1"/>
    </xf>
    <xf numFmtId="0" fontId="0" fillId="0" borderId="0" xfId="0" applyFont="1" applyAlignment="1">
      <alignment horizontal="center" vertical="center"/>
    </xf>
    <xf numFmtId="0" fontId="72" fillId="34" borderId="10" xfId="0" applyFont="1" applyFill="1" applyBorder="1" applyAlignment="1">
      <alignment vertical="center"/>
    </xf>
    <xf numFmtId="0" fontId="72" fillId="34" borderId="10" xfId="0" applyFont="1" applyFill="1" applyBorder="1" applyAlignment="1">
      <alignment vertical="center" wrapText="1"/>
    </xf>
    <xf numFmtId="0" fontId="0" fillId="35" borderId="10" xfId="0" applyFont="1" applyFill="1" applyBorder="1" applyAlignment="1" applyProtection="1">
      <alignment vertical="center" wrapText="1"/>
      <protection locked="0"/>
    </xf>
    <xf numFmtId="0" fontId="0" fillId="0" borderId="0" xfId="0" applyFont="1" applyAlignment="1">
      <alignment horizontal="center"/>
    </xf>
    <xf numFmtId="0" fontId="74" fillId="0" borderId="0" xfId="0" applyFont="1" applyAlignment="1">
      <alignment vertical="center"/>
    </xf>
    <xf numFmtId="0" fontId="72" fillId="0" borderId="10" xfId="0" applyFont="1" applyBorder="1" applyAlignment="1">
      <alignment horizontal="left" vertical="center"/>
    </xf>
    <xf numFmtId="0" fontId="75" fillId="0" borderId="0" xfId="0" applyFont="1" applyAlignment="1">
      <alignment horizontal="center" vertical="center" wrapText="1"/>
    </xf>
    <xf numFmtId="0" fontId="74" fillId="0" borderId="0" xfId="0" applyFont="1" applyAlignment="1">
      <alignment horizontal="left" vertical="center"/>
    </xf>
    <xf numFmtId="0" fontId="74" fillId="0" borderId="0" xfId="0" applyFont="1" applyAlignment="1">
      <alignment horizontal="center" vertical="center"/>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vertical="center" wrapText="1"/>
      <protection locked="0"/>
    </xf>
    <xf numFmtId="2" fontId="0" fillId="0" borderId="10" xfId="0" applyNumberFormat="1" applyFont="1" applyBorder="1" applyAlignment="1" applyProtection="1">
      <alignment horizontal="center" vertical="center"/>
      <protection locked="0"/>
    </xf>
    <xf numFmtId="0" fontId="72" fillId="36" borderId="13" xfId="0" applyFont="1" applyFill="1" applyBorder="1" applyAlignment="1" applyProtection="1">
      <alignment horizontal="center" vertical="center"/>
      <protection/>
    </xf>
    <xf numFmtId="0" fontId="72" fillId="36" borderId="13" xfId="0" applyFont="1" applyFill="1" applyBorder="1" applyAlignment="1" applyProtection="1">
      <alignment vertical="center"/>
      <protection/>
    </xf>
    <xf numFmtId="2" fontId="72" fillId="36" borderId="13" xfId="0" applyNumberFormat="1" applyFont="1" applyFill="1" applyBorder="1" applyAlignment="1" applyProtection="1">
      <alignment horizontal="center" vertical="center"/>
      <protection/>
    </xf>
    <xf numFmtId="0" fontId="72" fillId="36" borderId="14"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left" vertical="center" wrapText="1"/>
      <protection locked="0"/>
    </xf>
    <xf numFmtId="0" fontId="0" fillId="35" borderId="10"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72" fillId="36" borderId="16" xfId="0" applyFont="1" applyFill="1" applyBorder="1" applyAlignment="1" applyProtection="1">
      <alignment horizontal="center" vertical="center"/>
      <protection/>
    </xf>
    <xf numFmtId="0" fontId="72" fillId="36" borderId="13"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locked="0"/>
    </xf>
    <xf numFmtId="0" fontId="72" fillId="36" borderId="13" xfId="0" applyFont="1" applyFill="1" applyBorder="1" applyAlignment="1" applyProtection="1">
      <alignment horizontal="center" vertical="center" wrapText="1"/>
      <protection/>
    </xf>
    <xf numFmtId="0" fontId="0" fillId="0" borderId="17" xfId="0" applyFont="1" applyBorder="1" applyAlignment="1" applyProtection="1">
      <alignment vertical="center"/>
      <protection/>
    </xf>
    <xf numFmtId="0" fontId="72" fillId="0" borderId="10" xfId="0" applyFont="1" applyFill="1" applyBorder="1" applyAlignment="1" applyProtection="1">
      <alignment horizontal="center" vertical="center"/>
      <protection/>
    </xf>
    <xf numFmtId="0" fontId="72" fillId="0" borderId="10" xfId="0" applyFont="1" applyFill="1" applyBorder="1" applyAlignment="1" applyProtection="1">
      <alignment vertical="center"/>
      <protection/>
    </xf>
    <xf numFmtId="0" fontId="72" fillId="36" borderId="18" xfId="0" applyFont="1" applyFill="1" applyBorder="1" applyAlignment="1" applyProtection="1">
      <alignment horizontal="center" vertical="center"/>
      <protection/>
    </xf>
    <xf numFmtId="0" fontId="72" fillId="36" borderId="16" xfId="0" applyFont="1" applyFill="1" applyBorder="1" applyAlignment="1" applyProtection="1">
      <alignment vertical="center"/>
      <protection/>
    </xf>
    <xf numFmtId="2" fontId="0" fillId="0" borderId="10" xfId="0" applyNumberFormat="1" applyFont="1" applyFill="1" applyBorder="1" applyAlignment="1" applyProtection="1">
      <alignment horizontal="center" vertical="center"/>
      <protection locked="0"/>
    </xf>
    <xf numFmtId="0" fontId="72" fillId="35" borderId="0" xfId="0" applyFont="1" applyFill="1" applyBorder="1" applyAlignment="1" applyProtection="1">
      <alignment horizontal="center" vertical="center"/>
      <protection locked="0"/>
    </xf>
    <xf numFmtId="0" fontId="29" fillId="0" borderId="19" xfId="0" applyFont="1" applyBorder="1" applyAlignment="1" applyProtection="1">
      <alignment horizontal="left" vertical="center" wrapText="1"/>
      <protection/>
    </xf>
    <xf numFmtId="0" fontId="29" fillId="0" borderId="20" xfId="0" applyFont="1" applyBorder="1" applyAlignment="1" applyProtection="1">
      <alignment horizontal="left" vertical="center" wrapText="1"/>
      <protection/>
    </xf>
    <xf numFmtId="0" fontId="72" fillId="0" borderId="21" xfId="0" applyFont="1" applyBorder="1" applyAlignment="1" applyProtection="1">
      <alignment horizontal="center" vertical="center"/>
      <protection locked="0"/>
    </xf>
    <xf numFmtId="0" fontId="72" fillId="0" borderId="0" xfId="0" applyFont="1" applyBorder="1" applyAlignment="1" applyProtection="1">
      <alignment vertical="center"/>
      <protection locked="0"/>
    </xf>
    <xf numFmtId="0" fontId="72" fillId="0" borderId="0" xfId="0" applyFont="1" applyBorder="1" applyAlignment="1" applyProtection="1">
      <alignment horizontal="center" vertical="center"/>
      <protection locked="0"/>
    </xf>
    <xf numFmtId="0" fontId="72" fillId="0" borderId="21" xfId="0" applyFont="1" applyBorder="1" applyAlignment="1" applyProtection="1">
      <alignment vertical="center"/>
      <protection locked="0"/>
    </xf>
    <xf numFmtId="0" fontId="76" fillId="0" borderId="0"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0" fillId="37" borderId="21" xfId="0" applyFont="1" applyFill="1" applyBorder="1" applyAlignment="1" applyProtection="1">
      <alignment vertical="center"/>
      <protection locked="0"/>
    </xf>
    <xf numFmtId="0" fontId="0" fillId="37" borderId="0" xfId="0" applyFont="1" applyFill="1" applyBorder="1" applyAlignment="1" applyProtection="1">
      <alignment vertical="center" wrapText="1"/>
      <protection locked="0"/>
    </xf>
    <xf numFmtId="0" fontId="0" fillId="37" borderId="0" xfId="0" applyFont="1" applyFill="1" applyBorder="1" applyAlignment="1" applyProtection="1">
      <alignment horizontal="center" vertical="center"/>
      <protection locked="0"/>
    </xf>
    <xf numFmtId="0" fontId="0" fillId="37" borderId="0" xfId="0" applyFont="1" applyFill="1" applyBorder="1" applyAlignment="1" applyProtection="1">
      <alignment vertical="center"/>
      <protection locked="0"/>
    </xf>
    <xf numFmtId="0" fontId="0" fillId="0" borderId="0" xfId="0" applyFont="1" applyAlignment="1" applyProtection="1">
      <alignment horizontal="center" vertical="center"/>
      <protection/>
    </xf>
    <xf numFmtId="0" fontId="0" fillId="0" borderId="13" xfId="0" applyFont="1" applyBorder="1" applyAlignment="1" applyProtection="1">
      <alignment vertical="center"/>
      <protection/>
    </xf>
    <xf numFmtId="0" fontId="0" fillId="0" borderId="22" xfId="0" applyFont="1" applyBorder="1" applyAlignment="1" applyProtection="1">
      <alignment vertical="center" wrapText="1"/>
      <protection/>
    </xf>
    <xf numFmtId="0" fontId="0" fillId="0" borderId="22"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wrapText="1"/>
      <protection/>
    </xf>
    <xf numFmtId="0" fontId="0" fillId="35" borderId="12"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5" fillId="35" borderId="20" xfId="0" applyFont="1" applyFill="1" applyBorder="1" applyAlignment="1" applyProtection="1">
      <alignment horizontal="center" vertical="center"/>
      <protection/>
    </xf>
    <xf numFmtId="0" fontId="0" fillId="35" borderId="0" xfId="0" applyFont="1" applyFill="1" applyBorder="1" applyAlignment="1" applyProtection="1">
      <alignment vertical="center"/>
      <protection/>
    </xf>
    <xf numFmtId="0" fontId="0" fillId="35" borderId="17" xfId="0" applyFont="1" applyFill="1" applyBorder="1" applyAlignment="1" applyProtection="1">
      <alignment vertical="center"/>
      <protection/>
    </xf>
    <xf numFmtId="0" fontId="0" fillId="35" borderId="0" xfId="0" applyFont="1" applyFill="1" applyAlignment="1" applyProtection="1">
      <alignment vertical="center"/>
      <protection/>
    </xf>
    <xf numFmtId="0" fontId="1" fillId="0" borderId="20" xfId="0" applyFont="1" applyBorder="1" applyAlignment="1" applyProtection="1">
      <alignment horizontal="center" vertical="center"/>
      <protection/>
    </xf>
    <xf numFmtId="0" fontId="0" fillId="0" borderId="19"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2" fontId="1"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0" fillId="0" borderId="19" xfId="0" applyFont="1" applyBorder="1" applyAlignment="1" applyProtection="1">
      <alignment vertical="center"/>
      <protection/>
    </xf>
    <xf numFmtId="2" fontId="5" fillId="35" borderId="12" xfId="0" applyNumberFormat="1"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0" borderId="19"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left" vertical="center" wrapText="1" indent="1"/>
      <protection/>
    </xf>
    <xf numFmtId="0" fontId="0" fillId="0" borderId="10" xfId="0" applyFont="1" applyFill="1" applyBorder="1" applyAlignment="1" applyProtection="1">
      <alignment horizontal="center" vertical="center"/>
      <protection/>
    </xf>
    <xf numFmtId="0" fontId="0" fillId="0" borderId="10" xfId="0" applyFont="1" applyBorder="1" applyAlignment="1" applyProtection="1">
      <alignment horizontal="left" vertical="center" wrapText="1" indent="1"/>
      <protection/>
    </xf>
    <xf numFmtId="0" fontId="0" fillId="0" borderId="24" xfId="0" applyFont="1" applyFill="1" applyBorder="1" applyAlignment="1" applyProtection="1">
      <alignment horizontal="center" vertical="center" wrapText="1"/>
      <protection/>
    </xf>
    <xf numFmtId="0" fontId="32" fillId="35" borderId="20" xfId="0" applyFont="1" applyFill="1" applyBorder="1" applyAlignment="1" applyProtection="1">
      <alignment horizontal="center" vertical="center"/>
      <protection/>
    </xf>
    <xf numFmtId="0" fontId="32" fillId="35" borderId="19" xfId="0" applyFont="1" applyFill="1" applyBorder="1" applyAlignment="1" applyProtection="1">
      <alignment horizontal="left" vertical="center" wrapText="1" indent="1"/>
      <protection/>
    </xf>
    <xf numFmtId="0" fontId="32" fillId="35" borderId="10" xfId="0" applyFont="1" applyFill="1" applyBorder="1" applyAlignment="1" applyProtection="1">
      <alignment horizontal="left" vertical="center" wrapText="1" indent="1"/>
      <protection/>
    </xf>
    <xf numFmtId="0" fontId="0" fillId="35" borderId="10" xfId="0" applyFont="1" applyFill="1" applyBorder="1" applyAlignment="1" applyProtection="1">
      <alignment horizontal="center" vertical="center"/>
      <protection/>
    </xf>
    <xf numFmtId="0" fontId="0" fillId="35" borderId="24"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2" fontId="0" fillId="0" borderId="24" xfId="0" applyNumberFormat="1"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0" fillId="35" borderId="10" xfId="0" applyFont="1" applyFill="1" applyBorder="1" applyAlignment="1" applyProtection="1">
      <alignment horizontal="center"/>
      <protection/>
    </xf>
    <xf numFmtId="0" fontId="0" fillId="0" borderId="26" xfId="0" applyFont="1" applyBorder="1" applyAlignment="1" applyProtection="1">
      <alignment horizontal="center" vertical="center"/>
      <protection/>
    </xf>
    <xf numFmtId="0" fontId="0" fillId="0" borderId="27"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left" vertical="center" wrapText="1" indent="1"/>
      <protection/>
    </xf>
    <xf numFmtId="0" fontId="0" fillId="0" borderId="15" xfId="0" applyFont="1" applyFill="1" applyBorder="1" applyAlignment="1" applyProtection="1">
      <alignment horizontal="center" vertical="center"/>
      <protection/>
    </xf>
    <xf numFmtId="0" fontId="0" fillId="0" borderId="19" xfId="0" applyFont="1" applyBorder="1" applyAlignment="1" applyProtection="1">
      <alignment horizontal="left" vertical="center" wrapText="1" indent="1"/>
      <protection/>
    </xf>
    <xf numFmtId="2" fontId="0" fillId="35" borderId="10" xfId="0" applyNumberFormat="1" applyFont="1" applyFill="1" applyBorder="1" applyAlignment="1" applyProtection="1">
      <alignment horizontal="center"/>
      <protection/>
    </xf>
    <xf numFmtId="0" fontId="33" fillId="35" borderId="19" xfId="0" applyFont="1" applyFill="1" applyBorder="1" applyAlignment="1" applyProtection="1">
      <alignment horizontal="left" vertical="center" wrapText="1" indent="1"/>
      <protection/>
    </xf>
    <xf numFmtId="0" fontId="33" fillId="35" borderId="10" xfId="0" applyFont="1" applyFill="1" applyBorder="1" applyAlignment="1" applyProtection="1">
      <alignment horizontal="left" vertical="center" wrapText="1" indent="1"/>
      <protection/>
    </xf>
    <xf numFmtId="0" fontId="33" fillId="35" borderId="10" xfId="0" applyFont="1" applyFill="1" applyBorder="1" applyAlignment="1" applyProtection="1">
      <alignment horizontal="center" vertical="center"/>
      <protection/>
    </xf>
    <xf numFmtId="2" fontId="33" fillId="35" borderId="10" xfId="0" applyNumberFormat="1" applyFont="1" applyFill="1" applyBorder="1" applyAlignment="1" applyProtection="1">
      <alignment horizontal="center" vertical="center"/>
      <protection/>
    </xf>
    <xf numFmtId="0" fontId="33" fillId="35" borderId="10" xfId="0" applyFont="1" applyFill="1" applyBorder="1" applyAlignment="1" applyProtection="1">
      <alignment horizontal="center" vertical="center" wrapText="1"/>
      <protection/>
    </xf>
    <xf numFmtId="164" fontId="33" fillId="35" borderId="10" xfId="0" applyNumberFormat="1" applyFont="1" applyFill="1" applyBorder="1" applyAlignment="1" applyProtection="1">
      <alignment horizontal="center" vertical="center"/>
      <protection/>
    </xf>
    <xf numFmtId="0" fontId="5" fillId="35" borderId="19" xfId="0" applyFont="1" applyFill="1" applyBorder="1" applyAlignment="1" applyProtection="1">
      <alignment vertical="center" wrapText="1"/>
      <protection/>
    </xf>
    <xf numFmtId="0" fontId="5" fillId="35" borderId="10" xfId="0" applyFont="1" applyFill="1" applyBorder="1" applyAlignment="1" applyProtection="1">
      <alignment vertical="center" wrapText="1"/>
      <protection/>
    </xf>
    <xf numFmtId="0" fontId="5" fillId="35" borderId="10" xfId="0" applyFont="1" applyFill="1" applyBorder="1" applyAlignment="1" applyProtection="1">
      <alignment horizontal="center" vertical="center"/>
      <protection/>
    </xf>
    <xf numFmtId="2" fontId="5" fillId="35" borderId="10" xfId="0" applyNumberFormat="1" applyFont="1" applyFill="1" applyBorder="1" applyAlignment="1" applyProtection="1">
      <alignment horizontal="center" vertical="center"/>
      <protection/>
    </xf>
    <xf numFmtId="0" fontId="5" fillId="35" borderId="19" xfId="0" applyFont="1" applyFill="1" applyBorder="1" applyAlignment="1" applyProtection="1">
      <alignment horizontal="center" vertical="center"/>
      <protection/>
    </xf>
    <xf numFmtId="0" fontId="5" fillId="35" borderId="12" xfId="0" applyFont="1" applyFill="1" applyBorder="1" applyAlignment="1" applyProtection="1">
      <alignment vertical="center" wrapText="1"/>
      <protection/>
    </xf>
    <xf numFmtId="0" fontId="5" fillId="35" borderId="11" xfId="0" applyFont="1" applyFill="1" applyBorder="1" applyAlignment="1" applyProtection="1">
      <alignment vertical="center" wrapText="1"/>
      <protection/>
    </xf>
    <xf numFmtId="2" fontId="5" fillId="35" borderId="11" xfId="0" applyNumberFormat="1" applyFont="1" applyFill="1" applyBorder="1" applyAlignment="1" applyProtection="1">
      <alignment horizontal="center" vertical="center"/>
      <protection/>
    </xf>
    <xf numFmtId="0" fontId="33" fillId="35" borderId="19" xfId="0" applyFont="1" applyFill="1" applyBorder="1" applyAlignment="1" applyProtection="1">
      <alignment horizontal="center" vertical="center"/>
      <protection/>
    </xf>
    <xf numFmtId="0" fontId="33" fillId="35" borderId="28" xfId="0" applyFont="1" applyFill="1" applyBorder="1" applyAlignment="1" applyProtection="1">
      <alignment horizontal="left" vertical="center" wrapText="1"/>
      <protection/>
    </xf>
    <xf numFmtId="0" fontId="33" fillId="35" borderId="11" xfId="0" applyFont="1" applyFill="1" applyBorder="1" applyAlignment="1" applyProtection="1">
      <alignment horizontal="center" vertical="center"/>
      <protection/>
    </xf>
    <xf numFmtId="2" fontId="33" fillId="35" borderId="11" xfId="0" applyNumberFormat="1" applyFont="1" applyFill="1" applyBorder="1" applyAlignment="1" applyProtection="1">
      <alignment horizontal="center" vertical="center"/>
      <protection/>
    </xf>
    <xf numFmtId="0" fontId="26" fillId="35" borderId="0" xfId="0" applyFont="1" applyFill="1" applyBorder="1" applyAlignment="1" applyProtection="1">
      <alignment vertical="center"/>
      <protection/>
    </xf>
    <xf numFmtId="0" fontId="26" fillId="35" borderId="17" xfId="0" applyFont="1" applyFill="1" applyBorder="1" applyAlignment="1" applyProtection="1">
      <alignment vertical="center"/>
      <protection/>
    </xf>
    <xf numFmtId="0" fontId="26" fillId="35" borderId="0" xfId="0" applyFont="1" applyFill="1" applyAlignment="1" applyProtection="1">
      <alignment vertical="center"/>
      <protection/>
    </xf>
    <xf numFmtId="0" fontId="5" fillId="0" borderId="20" xfId="0" applyFont="1" applyBorder="1" applyAlignment="1" applyProtection="1">
      <alignment horizontal="center" vertical="top" wrapText="1"/>
      <protection/>
    </xf>
    <xf numFmtId="0" fontId="5" fillId="0" borderId="19" xfId="0" applyFont="1" applyBorder="1" applyAlignment="1" applyProtection="1">
      <alignment horizontal="left" vertical="top" wrapText="1"/>
      <protection/>
    </xf>
    <xf numFmtId="0" fontId="5" fillId="0" borderId="10" xfId="0" applyFont="1" applyBorder="1" applyAlignment="1" applyProtection="1">
      <alignment horizontal="center" vertical="top" wrapText="1"/>
      <protection/>
    </xf>
    <xf numFmtId="0" fontId="5" fillId="0" borderId="22" xfId="0" applyFont="1" applyBorder="1" applyAlignment="1" applyProtection="1">
      <alignment vertical="top" wrapText="1"/>
      <protection/>
    </xf>
    <xf numFmtId="0" fontId="5" fillId="0" borderId="23" xfId="0" applyFont="1" applyBorder="1" applyAlignment="1" applyProtection="1">
      <alignment vertical="top" wrapText="1"/>
      <protection/>
    </xf>
    <xf numFmtId="0" fontId="26" fillId="36" borderId="0" xfId="0" applyFont="1" applyFill="1" applyBorder="1" applyAlignment="1" applyProtection="1">
      <alignment vertical="center"/>
      <protection/>
    </xf>
    <xf numFmtId="0" fontId="26" fillId="36" borderId="17" xfId="0" applyFont="1" applyFill="1" applyBorder="1" applyAlignment="1" applyProtection="1">
      <alignment vertical="center"/>
      <protection/>
    </xf>
    <xf numFmtId="0" fontId="26" fillId="36" borderId="0" xfId="0" applyFont="1" applyFill="1" applyAlignment="1" applyProtection="1">
      <alignment vertical="center"/>
      <protection/>
    </xf>
    <xf numFmtId="0" fontId="5" fillId="0" borderId="29" xfId="0" applyFont="1" applyBorder="1" applyAlignment="1" applyProtection="1">
      <alignment horizontal="center" vertical="top" wrapText="1"/>
      <protection/>
    </xf>
    <xf numFmtId="0" fontId="5" fillId="0" borderId="30" xfId="0" applyFont="1" applyBorder="1" applyAlignment="1" applyProtection="1">
      <alignment horizontal="left" vertical="top" wrapText="1"/>
      <protection/>
    </xf>
    <xf numFmtId="0" fontId="5" fillId="0" borderId="31" xfId="0" applyFont="1" applyBorder="1" applyAlignment="1" applyProtection="1">
      <alignment horizontal="center" vertical="top" wrapText="1"/>
      <protection/>
    </xf>
    <xf numFmtId="0" fontId="5" fillId="0" borderId="32" xfId="0" applyFont="1" applyBorder="1" applyAlignment="1" applyProtection="1">
      <alignment/>
      <protection/>
    </xf>
    <xf numFmtId="0" fontId="5" fillId="0" borderId="33" xfId="0" applyFont="1" applyBorder="1" applyAlignment="1" applyProtection="1">
      <alignment/>
      <protection/>
    </xf>
    <xf numFmtId="0" fontId="26" fillId="36" borderId="32" xfId="0" applyFont="1" applyFill="1" applyBorder="1" applyAlignment="1" applyProtection="1">
      <alignment vertical="center"/>
      <protection/>
    </xf>
    <xf numFmtId="0" fontId="26" fillId="36" borderId="33" xfId="0" applyFont="1" applyFill="1" applyBorder="1" applyAlignment="1" applyProtection="1">
      <alignment vertical="center"/>
      <protection/>
    </xf>
    <xf numFmtId="0" fontId="5" fillId="0" borderId="0" xfId="0" applyFont="1" applyBorder="1" applyAlignment="1" applyProtection="1">
      <alignment/>
      <protection/>
    </xf>
    <xf numFmtId="0" fontId="31" fillId="0" borderId="0" xfId="0" applyFont="1" applyBorder="1" applyAlignment="1" applyProtection="1">
      <alignment/>
      <protection/>
    </xf>
    <xf numFmtId="0" fontId="31" fillId="0" borderId="0" xfId="0" applyFont="1" applyBorder="1" applyAlignment="1" applyProtection="1">
      <alignment horizontal="center"/>
      <protection/>
    </xf>
    <xf numFmtId="0" fontId="31" fillId="0" borderId="17" xfId="0" applyFont="1" applyBorder="1" applyAlignment="1" applyProtection="1">
      <alignment/>
      <protection/>
    </xf>
    <xf numFmtId="0" fontId="30" fillId="0" borderId="0" xfId="0" applyFont="1" applyBorder="1" applyAlignment="1" applyProtection="1">
      <alignment horizontal="right"/>
      <protection/>
    </xf>
    <xf numFmtId="0" fontId="5" fillId="0" borderId="0" xfId="0" applyFont="1" applyBorder="1" applyAlignment="1" applyProtection="1">
      <alignment horizontal="center"/>
      <protection/>
    </xf>
    <xf numFmtId="0" fontId="5" fillId="0" borderId="17" xfId="0" applyFont="1" applyBorder="1" applyAlignment="1" applyProtection="1">
      <alignment/>
      <protection/>
    </xf>
    <xf numFmtId="0" fontId="31" fillId="0" borderId="0" xfId="0" applyFont="1" applyBorder="1" applyAlignment="1" applyProtection="1">
      <alignment horizontal="left"/>
      <protection/>
    </xf>
    <xf numFmtId="0" fontId="0" fillId="37" borderId="0" xfId="0" applyFont="1" applyFill="1" applyBorder="1" applyAlignment="1" applyProtection="1">
      <alignment vertical="center"/>
      <protection/>
    </xf>
    <xf numFmtId="0" fontId="0" fillId="37" borderId="0" xfId="0" applyFont="1" applyFill="1" applyBorder="1" applyAlignment="1" applyProtection="1">
      <alignment vertical="center" wrapText="1"/>
      <protection/>
    </xf>
    <xf numFmtId="0" fontId="0" fillId="37" borderId="0" xfId="0" applyFont="1" applyFill="1" applyBorder="1" applyAlignment="1" applyProtection="1">
      <alignment horizontal="center" vertical="center"/>
      <protection/>
    </xf>
    <xf numFmtId="0" fontId="29" fillId="35" borderId="0" xfId="0" applyFont="1" applyFill="1" applyAlignment="1" applyProtection="1">
      <alignment vertical="center"/>
      <protection/>
    </xf>
    <xf numFmtId="0" fontId="33" fillId="35" borderId="34" xfId="0" applyFont="1" applyFill="1" applyBorder="1" applyAlignment="1" applyProtection="1">
      <alignment horizontal="left" vertical="center" wrapText="1"/>
      <protection/>
    </xf>
    <xf numFmtId="0" fontId="33" fillId="35" borderId="34" xfId="0" applyFont="1" applyFill="1" applyBorder="1" applyAlignment="1" applyProtection="1">
      <alignment horizontal="center" vertical="center" wrapText="1"/>
      <protection/>
    </xf>
    <xf numFmtId="0" fontId="33" fillId="35" borderId="35" xfId="0" applyFont="1" applyFill="1" applyBorder="1" applyAlignment="1" applyProtection="1">
      <alignment horizontal="center" vertical="center" wrapText="1"/>
      <protection/>
    </xf>
    <xf numFmtId="0" fontId="33" fillId="35" borderId="12" xfId="0" applyFont="1" applyFill="1" applyBorder="1" applyAlignment="1" applyProtection="1">
      <alignment vertical="center" wrapText="1"/>
      <protection/>
    </xf>
    <xf numFmtId="0" fontId="33" fillId="35" borderId="10" xfId="0" applyFont="1" applyFill="1" applyBorder="1" applyAlignment="1" applyProtection="1">
      <alignment vertical="center" wrapText="1"/>
      <protection/>
    </xf>
    <xf numFmtId="0" fontId="33" fillId="0" borderId="26" xfId="0" applyFont="1" applyBorder="1" applyAlignment="1" applyProtection="1">
      <alignment horizontal="center" vertical="center" wrapText="1"/>
      <protection/>
    </xf>
    <xf numFmtId="0" fontId="33" fillId="0" borderId="20" xfId="0" applyFont="1" applyBorder="1" applyAlignment="1" applyProtection="1">
      <alignment vertical="center" wrapText="1"/>
      <protection/>
    </xf>
    <xf numFmtId="0" fontId="33" fillId="0" borderId="15" xfId="0" applyFont="1" applyBorder="1" applyAlignment="1" applyProtection="1">
      <alignment horizontal="left" vertical="center" wrapText="1"/>
      <protection/>
    </xf>
    <xf numFmtId="0" fontId="33" fillId="0" borderId="15" xfId="0" applyFont="1" applyBorder="1" applyAlignment="1" applyProtection="1">
      <alignment horizontal="center" vertical="center" wrapText="1"/>
      <protection/>
    </xf>
    <xf numFmtId="2" fontId="33" fillId="0" borderId="15" xfId="0" applyNumberFormat="1" applyFont="1" applyBorder="1" applyAlignment="1" applyProtection="1">
      <alignment horizontal="center" vertical="center" wrapText="1"/>
      <protection/>
    </xf>
    <xf numFmtId="2" fontId="33" fillId="0" borderId="36" xfId="0" applyNumberFormat="1" applyFont="1" applyBorder="1" applyAlignment="1" applyProtection="1">
      <alignment horizontal="center" vertical="center" wrapText="1"/>
      <protection/>
    </xf>
    <xf numFmtId="0" fontId="29" fillId="0" borderId="20" xfId="0" applyFont="1" applyBorder="1" applyAlignment="1" applyProtection="1">
      <alignment horizontal="center" vertical="center" wrapText="1"/>
      <protection/>
    </xf>
    <xf numFmtId="0" fontId="29" fillId="0" borderId="20" xfId="0" applyFont="1" applyBorder="1" applyAlignment="1" applyProtection="1">
      <alignment vertical="center" wrapText="1"/>
      <protection/>
    </xf>
    <xf numFmtId="0" fontId="29" fillId="0" borderId="10" xfId="0" applyFont="1" applyBorder="1" applyAlignment="1" applyProtection="1">
      <alignment horizontal="left" vertical="center" wrapText="1"/>
      <protection/>
    </xf>
    <xf numFmtId="0" fontId="29" fillId="0" borderId="10" xfId="0" applyFont="1" applyBorder="1" applyAlignment="1" applyProtection="1">
      <alignment horizontal="center" vertical="center" wrapText="1"/>
      <protection/>
    </xf>
    <xf numFmtId="2" fontId="29" fillId="0" borderId="10" xfId="0" applyNumberFormat="1" applyFont="1" applyBorder="1" applyAlignment="1" applyProtection="1">
      <alignment horizontal="center" vertical="center" wrapText="1"/>
      <protection/>
    </xf>
    <xf numFmtId="2" fontId="29" fillId="0" borderId="24" xfId="0" applyNumberFormat="1"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29" fillId="0" borderId="20" xfId="0" applyFont="1" applyFill="1" applyBorder="1" applyAlignment="1" applyProtection="1">
      <alignment horizontal="center" vertical="center" wrapText="1"/>
      <protection/>
    </xf>
    <xf numFmtId="166" fontId="29" fillId="0" borderId="10" xfId="0" applyNumberFormat="1" applyFont="1" applyBorder="1" applyAlignment="1" applyProtection="1">
      <alignment horizontal="center" vertical="center" wrapText="1"/>
      <protection/>
    </xf>
    <xf numFmtId="0" fontId="33" fillId="0" borderId="19" xfId="0" applyFont="1" applyBorder="1" applyAlignment="1" applyProtection="1">
      <alignment horizontal="left" vertical="center" wrapText="1"/>
      <protection/>
    </xf>
    <xf numFmtId="0" fontId="33" fillId="0" borderId="10" xfId="0" applyFont="1" applyBorder="1" applyAlignment="1" applyProtection="1">
      <alignment horizontal="left" vertical="center" wrapText="1"/>
      <protection/>
    </xf>
    <xf numFmtId="0" fontId="33" fillId="0" borderId="24" xfId="0" applyFont="1" applyBorder="1" applyAlignment="1" applyProtection="1">
      <alignment horizontal="left" vertical="center" wrapText="1"/>
      <protection/>
    </xf>
    <xf numFmtId="0" fontId="29" fillId="0" borderId="24" xfId="0" applyFont="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2" fontId="33" fillId="0" borderId="10" xfId="0" applyNumberFormat="1" applyFont="1" applyBorder="1" applyAlignment="1" applyProtection="1">
      <alignment horizontal="center" vertical="center" wrapText="1"/>
      <protection/>
    </xf>
    <xf numFmtId="2" fontId="33" fillId="0" borderId="24" xfId="0" applyNumberFormat="1" applyFont="1" applyBorder="1" applyAlignment="1" applyProtection="1">
      <alignment horizontal="center" vertical="center" wrapText="1"/>
      <protection/>
    </xf>
    <xf numFmtId="0" fontId="29" fillId="37" borderId="20" xfId="0" applyFont="1" applyFill="1" applyBorder="1" applyAlignment="1" applyProtection="1">
      <alignment horizontal="center" vertical="center" wrapText="1"/>
      <protection/>
    </xf>
    <xf numFmtId="0" fontId="29" fillId="37" borderId="20" xfId="0" applyFont="1" applyFill="1" applyBorder="1" applyAlignment="1" applyProtection="1">
      <alignment vertical="center" wrapText="1"/>
      <protection/>
    </xf>
    <xf numFmtId="0" fontId="29" fillId="0" borderId="20" xfId="0" applyFont="1" applyFill="1" applyBorder="1" applyAlignment="1" applyProtection="1">
      <alignment vertical="center" wrapText="1"/>
      <protection/>
    </xf>
    <xf numFmtId="0" fontId="29" fillId="0" borderId="10" xfId="0" applyFont="1" applyFill="1" applyBorder="1" applyAlignment="1" applyProtection="1">
      <alignment horizontal="left" vertical="center" wrapText="1"/>
      <protection/>
    </xf>
    <xf numFmtId="2" fontId="29" fillId="0" borderId="10" xfId="0" applyNumberFormat="1"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1" fontId="29" fillId="0" borderId="10" xfId="0" applyNumberFormat="1" applyFont="1" applyFill="1" applyBorder="1" applyAlignment="1" applyProtection="1">
      <alignment horizontal="center" vertical="center" wrapText="1"/>
      <protection/>
    </xf>
    <xf numFmtId="1" fontId="29" fillId="0" borderId="24" xfId="0" applyNumberFormat="1" applyFont="1" applyFill="1" applyBorder="1" applyAlignment="1" applyProtection="1">
      <alignment horizontal="center" vertical="center" wrapText="1"/>
      <protection/>
    </xf>
    <xf numFmtId="164" fontId="29" fillId="0" borderId="10" xfId="0" applyNumberFormat="1" applyFont="1" applyFill="1" applyBorder="1" applyAlignment="1" applyProtection="1">
      <alignment horizontal="center" vertical="center" wrapText="1"/>
      <protection/>
    </xf>
    <xf numFmtId="164" fontId="29" fillId="0" borderId="24"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0" fillId="38" borderId="0" xfId="0" applyFont="1" applyFill="1" applyAlignment="1" applyProtection="1">
      <alignment vertical="center"/>
      <protection/>
    </xf>
    <xf numFmtId="0" fontId="0" fillId="3" borderId="0" xfId="0" applyFont="1" applyFill="1" applyAlignment="1" applyProtection="1">
      <alignment vertical="center"/>
      <protection/>
    </xf>
    <xf numFmtId="0" fontId="0" fillId="0" borderId="2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17" xfId="0" applyFont="1" applyBorder="1" applyAlignment="1" applyProtection="1">
      <alignment vertical="center"/>
      <protection/>
    </xf>
    <xf numFmtId="0" fontId="5" fillId="0" borderId="17"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0" fillId="0" borderId="37"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vertical="center"/>
      <protection/>
    </xf>
    <xf numFmtId="0" fontId="78" fillId="0" borderId="0" xfId="0" applyFont="1" applyAlignment="1">
      <alignment/>
    </xf>
    <xf numFmtId="0" fontId="79" fillId="0" borderId="0" xfId="0" applyFont="1" applyAlignment="1">
      <alignment/>
    </xf>
    <xf numFmtId="0" fontId="0" fillId="0" borderId="38" xfId="0" applyFont="1" applyBorder="1" applyAlignment="1">
      <alignment horizontal="center"/>
    </xf>
    <xf numFmtId="0" fontId="0" fillId="0" borderId="12" xfId="0" applyFont="1" applyBorder="1" applyAlignment="1">
      <alignment horizontal="center"/>
    </xf>
    <xf numFmtId="0" fontId="0" fillId="0" borderId="10" xfId="0" applyFont="1" applyBorder="1" applyAlignment="1">
      <alignment horizontal="center" vertical="top"/>
    </xf>
    <xf numFmtId="0" fontId="0" fillId="0" borderId="10" xfId="0" applyFont="1" applyBorder="1" applyAlignment="1">
      <alignment horizontal="left" vertical="top"/>
    </xf>
    <xf numFmtId="1" fontId="0" fillId="0" borderId="10" xfId="0" applyNumberFormat="1" applyFont="1" applyBorder="1" applyAlignment="1">
      <alignment horizontal="center" vertical="top"/>
    </xf>
    <xf numFmtId="1" fontId="0" fillId="0" borderId="10" xfId="0" applyNumberFormat="1" applyFont="1" applyBorder="1" applyAlignment="1">
      <alignment horizontal="center"/>
    </xf>
    <xf numFmtId="1" fontId="0" fillId="0" borderId="10" xfId="0" applyNumberFormat="1" applyFont="1" applyBorder="1" applyAlignment="1">
      <alignment horizontal="center" vertical="center"/>
    </xf>
    <xf numFmtId="1" fontId="72" fillId="34" borderId="10" xfId="0" applyNumberFormat="1" applyFont="1" applyFill="1" applyBorder="1" applyAlignment="1">
      <alignment horizontal="center"/>
    </xf>
    <xf numFmtId="1" fontId="72" fillId="34" borderId="10" xfId="0" applyNumberFormat="1" applyFont="1" applyFill="1" applyBorder="1" applyAlignment="1">
      <alignment horizontal="center" vertical="center"/>
    </xf>
    <xf numFmtId="165" fontId="0" fillId="0" borderId="10" xfId="0" applyNumberFormat="1" applyFont="1" applyBorder="1" applyAlignment="1">
      <alignment horizontal="center"/>
    </xf>
    <xf numFmtId="0" fontId="0" fillId="0" borderId="10" xfId="0" applyFont="1" applyFill="1" applyBorder="1" applyAlignment="1">
      <alignment horizontal="left" vertical="center" wrapText="1"/>
    </xf>
    <xf numFmtId="0" fontId="80" fillId="0" borderId="10" xfId="0" applyFont="1" applyBorder="1" applyAlignment="1">
      <alignment horizontal="left" vertical="center"/>
    </xf>
    <xf numFmtId="0" fontId="79" fillId="0" borderId="0" xfId="0" applyFont="1" applyAlignment="1">
      <alignment vertical="center"/>
    </xf>
    <xf numFmtId="0" fontId="72" fillId="33" borderId="10" xfId="0" applyFont="1" applyFill="1" applyBorder="1" applyAlignment="1">
      <alignment horizontal="center" vertical="center" wrapText="1"/>
    </xf>
    <xf numFmtId="0" fontId="72" fillId="33" borderId="10" xfId="0" applyFont="1" applyFill="1" applyBorder="1" applyAlignment="1">
      <alignment vertical="center" wrapText="1"/>
    </xf>
    <xf numFmtId="1"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1" fontId="72" fillId="34" borderId="10" xfId="0" applyNumberFormat="1" applyFont="1" applyFill="1" applyBorder="1" applyAlignment="1">
      <alignment horizontal="center" vertical="center" wrapText="1"/>
    </xf>
    <xf numFmtId="0" fontId="0" fillId="0" borderId="0" xfId="0" applyFont="1" applyAlignment="1">
      <alignment vertical="center" wrapText="1"/>
    </xf>
    <xf numFmtId="0" fontId="72" fillId="35" borderId="10" xfId="0" applyFont="1" applyFill="1" applyBorder="1" applyAlignment="1">
      <alignment horizontal="left" vertical="center"/>
    </xf>
    <xf numFmtId="2" fontId="72" fillId="35" borderId="10" xfId="0" applyNumberFormat="1" applyFont="1" applyFill="1" applyBorder="1" applyAlignment="1">
      <alignment horizontal="center" vertical="center"/>
    </xf>
    <xf numFmtId="0" fontId="72" fillId="0" borderId="0" xfId="0" applyFont="1" applyAlignment="1">
      <alignment vertical="center"/>
    </xf>
    <xf numFmtId="0" fontId="81" fillId="0" borderId="10" xfId="0" applyFont="1" applyBorder="1" applyAlignment="1">
      <alignment vertical="center" wrapText="1"/>
    </xf>
    <xf numFmtId="0" fontId="0" fillId="35" borderId="10" xfId="0" applyFont="1" applyFill="1" applyBorder="1" applyAlignment="1">
      <alignment horizontal="left" vertical="center"/>
    </xf>
    <xf numFmtId="0" fontId="72" fillId="35" borderId="10" xfId="0" applyFont="1" applyFill="1" applyBorder="1" applyAlignment="1">
      <alignment horizontal="left" vertical="center" wrapText="1"/>
    </xf>
    <xf numFmtId="0" fontId="72" fillId="0" borderId="10" xfId="0" applyFont="1" applyBorder="1" applyAlignment="1">
      <alignment horizontal="left" vertical="center" wrapText="1"/>
    </xf>
    <xf numFmtId="2" fontId="72" fillId="0" borderId="10" xfId="0" applyNumberFormat="1" applyFont="1" applyBorder="1" applyAlignment="1">
      <alignment horizontal="center" vertical="center"/>
    </xf>
    <xf numFmtId="2" fontId="0" fillId="0" borderId="10" xfId="59" applyNumberFormat="1" applyFont="1" applyBorder="1" applyAlignment="1">
      <alignment horizontal="center" vertical="center"/>
    </xf>
    <xf numFmtId="2" fontId="72" fillId="34" borderId="10" xfId="0" applyNumberFormat="1" applyFont="1" applyFill="1" applyBorder="1" applyAlignment="1">
      <alignment horizontal="left" vertical="center" wrapText="1"/>
    </xf>
    <xf numFmtId="2" fontId="72" fillId="34" borderId="10" xfId="0" applyNumberFormat="1" applyFont="1" applyFill="1" applyBorder="1" applyAlignment="1">
      <alignment horizontal="center" vertical="center" wrapText="1"/>
    </xf>
    <xf numFmtId="2" fontId="0" fillId="0" borderId="10" xfId="0" applyNumberFormat="1" applyFont="1" applyBorder="1" applyAlignment="1">
      <alignment horizontal="left" vertical="center"/>
    </xf>
    <xf numFmtId="2" fontId="0" fillId="0" borderId="10" xfId="0" applyNumberFormat="1" applyFont="1" applyBorder="1" applyAlignment="1">
      <alignment horizontal="left" vertical="center" wrapText="1"/>
    </xf>
    <xf numFmtId="1" fontId="0" fillId="0" borderId="39" xfId="0" applyNumberFormat="1" applyFont="1" applyBorder="1" applyAlignment="1">
      <alignment horizontal="center" vertical="center"/>
    </xf>
    <xf numFmtId="0" fontId="29" fillId="0" borderId="10" xfId="0" applyFont="1" applyFill="1" applyBorder="1" applyAlignment="1" applyProtection="1">
      <alignment vertical="center" wrapText="1"/>
      <protection/>
    </xf>
    <xf numFmtId="0" fontId="29" fillId="35" borderId="10" xfId="0" applyFont="1" applyFill="1" applyBorder="1" applyAlignment="1" applyProtection="1">
      <alignment horizontal="left" vertical="center" wrapText="1"/>
      <protection/>
    </xf>
    <xf numFmtId="1" fontId="0" fillId="0" borderId="0" xfId="0" applyNumberFormat="1" applyFont="1" applyAlignment="1">
      <alignment horizontal="center" vertical="center"/>
    </xf>
    <xf numFmtId="2" fontId="0" fillId="0" borderId="0" xfId="0" applyNumberFormat="1" applyFont="1" applyAlignment="1">
      <alignment vertical="center"/>
    </xf>
    <xf numFmtId="0" fontId="0" fillId="33" borderId="10" xfId="0" applyFill="1" applyBorder="1" applyAlignment="1">
      <alignment/>
    </xf>
    <xf numFmtId="0" fontId="0" fillId="33" borderId="10" xfId="0" applyFill="1" applyBorder="1" applyAlignment="1">
      <alignment horizontal="center"/>
    </xf>
    <xf numFmtId="0" fontId="72" fillId="36" borderId="10" xfId="0" applyFont="1" applyFill="1" applyBorder="1" applyAlignment="1" applyProtection="1">
      <alignment horizontal="center" vertical="center" wrapText="1"/>
      <protection/>
    </xf>
    <xf numFmtId="0" fontId="72" fillId="36" borderId="10" xfId="0" applyFont="1" applyFill="1" applyBorder="1" applyAlignment="1" applyProtection="1">
      <alignment horizontal="left" vertical="center" wrapText="1"/>
      <protection/>
    </xf>
    <xf numFmtId="0" fontId="72" fillId="33" borderId="10" xfId="0" applyFont="1" applyFill="1" applyBorder="1" applyAlignment="1" applyProtection="1">
      <alignment vertical="center" wrapText="1"/>
      <protection locked="0"/>
    </xf>
    <xf numFmtId="0" fontId="72" fillId="34" borderId="10" xfId="0" applyFont="1" applyFill="1" applyBorder="1" applyAlignment="1" applyProtection="1">
      <alignment vertical="center" wrapText="1"/>
      <protection locked="0"/>
    </xf>
    <xf numFmtId="0" fontId="0" fillId="34" borderId="10" xfId="0" applyFont="1" applyFill="1" applyBorder="1" applyAlignment="1" applyProtection="1">
      <alignment horizontal="center" vertical="center"/>
      <protection locked="0"/>
    </xf>
    <xf numFmtId="0" fontId="82" fillId="34" borderId="10" xfId="0" applyFont="1" applyFill="1" applyBorder="1" applyAlignment="1" applyProtection="1">
      <alignment horizontal="center" vertical="center"/>
      <protection locked="0"/>
    </xf>
    <xf numFmtId="0" fontId="0" fillId="39" borderId="10" xfId="0" applyFont="1" applyFill="1" applyBorder="1" applyAlignment="1" applyProtection="1">
      <alignment horizontal="center" vertical="center"/>
      <protection locked="0"/>
    </xf>
    <xf numFmtId="0" fontId="0" fillId="39" borderId="10" xfId="0" applyFont="1" applyFill="1" applyBorder="1" applyAlignment="1" applyProtection="1">
      <alignment horizontal="center" vertical="center" wrapText="1"/>
      <protection locked="0"/>
    </xf>
    <xf numFmtId="0" fontId="72" fillId="39" borderId="26" xfId="0" applyFont="1" applyFill="1" applyBorder="1" applyAlignment="1" applyProtection="1">
      <alignment horizontal="center" vertical="center" wrapText="1"/>
      <protection/>
    </xf>
    <xf numFmtId="0" fontId="72" fillId="39" borderId="15" xfId="0" applyFont="1" applyFill="1" applyBorder="1" applyAlignment="1" applyProtection="1">
      <alignment vertical="center" wrapText="1"/>
      <protection/>
    </xf>
    <xf numFmtId="0" fontId="72" fillId="39" borderId="15" xfId="0" applyFont="1" applyFill="1" applyBorder="1" applyAlignment="1" applyProtection="1">
      <alignment horizontal="center" vertical="center" wrapText="1"/>
      <protection/>
    </xf>
    <xf numFmtId="2" fontId="72" fillId="39" borderId="15" xfId="0" applyNumberFormat="1" applyFont="1" applyFill="1" applyBorder="1" applyAlignment="1" applyProtection="1">
      <alignment horizontal="center" vertical="center" wrapText="1"/>
      <protection/>
    </xf>
    <xf numFmtId="0" fontId="72" fillId="33" borderId="10" xfId="0" applyFont="1" applyFill="1" applyBorder="1" applyAlignment="1" applyProtection="1">
      <alignment horizontal="center" vertical="center"/>
      <protection locked="0"/>
    </xf>
    <xf numFmtId="2" fontId="72" fillId="33" borderId="10" xfId="0" applyNumberFormat="1" applyFont="1" applyFill="1" applyBorder="1" applyAlignment="1" applyProtection="1">
      <alignment horizontal="center" vertical="center"/>
      <protection locked="0"/>
    </xf>
    <xf numFmtId="0" fontId="72" fillId="33" borderId="15" xfId="0" applyFont="1" applyFill="1" applyBorder="1" applyAlignment="1" applyProtection="1">
      <alignment vertical="center" wrapText="1"/>
      <protection locked="0"/>
    </xf>
    <xf numFmtId="0" fontId="0" fillId="33" borderId="15"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wrapText="1"/>
      <protection locked="0"/>
    </xf>
    <xf numFmtId="0" fontId="72" fillId="33" borderId="11" xfId="0" applyFont="1" applyFill="1" applyBorder="1" applyAlignment="1" applyProtection="1">
      <alignment horizontal="center" vertical="center"/>
      <protection locked="0"/>
    </xf>
    <xf numFmtId="0" fontId="72"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2" fontId="0" fillId="33" borderId="11" xfId="0" applyNumberFormat="1" applyFont="1" applyFill="1" applyBorder="1" applyAlignment="1" applyProtection="1">
      <alignment horizontal="center" vertical="center"/>
      <protection locked="0"/>
    </xf>
    <xf numFmtId="0" fontId="72" fillId="33" borderId="11" xfId="0" applyFont="1" applyFill="1" applyBorder="1" applyAlignment="1">
      <alignment horizontal="center" vertical="top" wrapText="1"/>
    </xf>
    <xf numFmtId="0" fontId="72" fillId="33" borderId="15" xfId="0" applyFont="1" applyFill="1" applyBorder="1" applyAlignment="1">
      <alignment horizontal="center" vertical="top" wrapText="1"/>
    </xf>
    <xf numFmtId="0" fontId="0" fillId="0" borderId="0" xfId="0" applyFill="1" applyAlignment="1">
      <alignment/>
    </xf>
    <xf numFmtId="0" fontId="72" fillId="33" borderId="15"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2" fontId="72" fillId="0" borderId="10" xfId="0" applyNumberFormat="1" applyFont="1" applyFill="1" applyBorder="1" applyAlignment="1">
      <alignment horizontal="left" vertical="center" wrapText="1"/>
    </xf>
    <xf numFmtId="2" fontId="72" fillId="0" borderId="10" xfId="0" applyNumberFormat="1" applyFont="1" applyFill="1" applyBorder="1" applyAlignment="1">
      <alignment horizontal="left" vertical="center"/>
    </xf>
    <xf numFmtId="2" fontId="72" fillId="0" borderId="10" xfId="0" applyNumberFormat="1" applyFont="1" applyFill="1" applyBorder="1" applyAlignment="1">
      <alignment horizontal="center" vertical="center"/>
    </xf>
    <xf numFmtId="2"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left" vertical="center"/>
    </xf>
    <xf numFmtId="166" fontId="0" fillId="0" borderId="10"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2"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72" fillId="0" borderId="0" xfId="0" applyFont="1" applyFill="1" applyBorder="1" applyAlignment="1" applyProtection="1">
      <alignment vertical="center"/>
      <protection locked="0"/>
    </xf>
    <xf numFmtId="0" fontId="72" fillId="39" borderId="15" xfId="0" applyFont="1" applyFill="1" applyBorder="1" applyAlignment="1" applyProtection="1" quotePrefix="1">
      <alignment horizontal="center" vertical="center" wrapText="1"/>
      <protection/>
    </xf>
    <xf numFmtId="0" fontId="0" fillId="0" borderId="15" xfId="0" applyFont="1" applyBorder="1" applyAlignment="1" applyProtection="1">
      <alignment horizontal="center" vertical="center"/>
      <protection locked="0"/>
    </xf>
    <xf numFmtId="0" fontId="0" fillId="0" borderId="15" xfId="0" applyFont="1" applyFill="1" applyBorder="1" applyAlignment="1" applyProtection="1">
      <alignment horizontal="center" vertical="center" wrapText="1"/>
      <protection locked="0"/>
    </xf>
    <xf numFmtId="0" fontId="72" fillId="36" borderId="18" xfId="0" applyFont="1" applyFill="1" applyBorder="1" applyAlignment="1" applyProtection="1">
      <alignment vertical="center" wrapText="1"/>
      <protection/>
    </xf>
    <xf numFmtId="0" fontId="72" fillId="36" borderId="1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left" vertical="center" wrapText="1"/>
      <protection locked="0"/>
    </xf>
    <xf numFmtId="0" fontId="72" fillId="36" borderId="18" xfId="0" applyFont="1" applyFill="1" applyBorder="1" applyAlignment="1" applyProtection="1">
      <alignment vertical="center"/>
      <protection/>
    </xf>
    <xf numFmtId="0" fontId="72" fillId="36" borderId="18"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72" fillId="0" borderId="0" xfId="0" applyFont="1" applyFill="1" applyBorder="1" applyAlignment="1" applyProtection="1">
      <alignment vertical="center" wrapText="1"/>
      <protection/>
    </xf>
    <xf numFmtId="0" fontId="72" fillId="36" borderId="14" xfId="0" applyFont="1" applyFill="1" applyBorder="1" applyAlignment="1" applyProtection="1">
      <alignment vertical="center"/>
      <protection/>
    </xf>
    <xf numFmtId="0" fontId="72" fillId="36" borderId="40" xfId="0" applyFont="1" applyFill="1" applyBorder="1" applyAlignment="1" applyProtection="1">
      <alignment horizontal="center" vertical="center"/>
      <protection/>
    </xf>
    <xf numFmtId="0" fontId="72" fillId="36" borderId="40" xfId="0" applyFont="1" applyFill="1" applyBorder="1" applyAlignment="1" applyProtection="1">
      <alignment vertical="center"/>
      <protection/>
    </xf>
    <xf numFmtId="0" fontId="72" fillId="0" borderId="10" xfId="0" applyFont="1" applyFill="1" applyBorder="1" applyAlignment="1" applyProtection="1">
      <alignment horizontal="center" vertical="center" wrapText="1"/>
      <protection/>
    </xf>
    <xf numFmtId="0" fontId="72" fillId="36" borderId="13" xfId="0" applyFont="1" applyFill="1" applyBorder="1" applyAlignment="1" applyProtection="1">
      <alignment horizontal="left" vertical="center"/>
      <protection/>
    </xf>
    <xf numFmtId="0" fontId="72" fillId="33" borderId="41" xfId="0" applyFont="1" applyFill="1" applyBorder="1" applyAlignment="1" applyProtection="1">
      <alignment horizontal="center" vertical="center"/>
      <protection locked="0"/>
    </xf>
    <xf numFmtId="2" fontId="72" fillId="33" borderId="41" xfId="0" applyNumberFormat="1" applyFont="1" applyFill="1" applyBorder="1" applyAlignment="1" applyProtection="1">
      <alignment horizontal="center" vertical="center"/>
      <protection locked="0"/>
    </xf>
    <xf numFmtId="2" fontId="72"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protection locked="0"/>
    </xf>
    <xf numFmtId="0" fontId="72" fillId="36" borderId="11" xfId="0" applyFont="1" applyFill="1" applyBorder="1" applyAlignment="1" applyProtection="1">
      <alignment horizontal="center" vertical="center" wrapText="1"/>
      <protection/>
    </xf>
    <xf numFmtId="0" fontId="72" fillId="36" borderId="11" xfId="0" applyFont="1" applyFill="1" applyBorder="1" applyAlignment="1" applyProtection="1">
      <alignment horizontal="left" vertical="center" wrapText="1"/>
      <protection/>
    </xf>
    <xf numFmtId="2" fontId="72" fillId="0" borderId="10" xfId="0" applyNumberFormat="1" applyFont="1" applyFill="1" applyBorder="1" applyAlignment="1" applyProtection="1">
      <alignment horizontal="center" vertical="center"/>
      <protection locked="0"/>
    </xf>
    <xf numFmtId="0" fontId="72" fillId="33" borderId="10" xfId="0" applyFont="1" applyFill="1" applyBorder="1" applyAlignment="1" applyProtection="1">
      <alignment horizontal="center" vertical="center" wrapText="1"/>
      <protection/>
    </xf>
    <xf numFmtId="0" fontId="72" fillId="33" borderId="10" xfId="0" applyFont="1" applyFill="1" applyBorder="1" applyAlignment="1" applyProtection="1">
      <alignment vertical="center" wrapText="1"/>
      <protection/>
    </xf>
    <xf numFmtId="0" fontId="0" fillId="33" borderId="10" xfId="0" applyFont="1" applyFill="1" applyBorder="1" applyAlignment="1" applyProtection="1">
      <alignment horizontal="center" vertical="center" wrapText="1"/>
      <protection locked="0"/>
    </xf>
    <xf numFmtId="2" fontId="0" fillId="33" borderId="10" xfId="0"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0" borderId="31" xfId="0" applyFont="1" applyBorder="1" applyAlignment="1" applyProtection="1">
      <alignment horizontal="center" vertical="center" wrapText="1"/>
      <protection locked="0"/>
    </xf>
    <xf numFmtId="0" fontId="72" fillId="36" borderId="16" xfId="0" applyFont="1" applyFill="1" applyBorder="1" applyAlignment="1" applyProtection="1">
      <alignment horizontal="center" vertical="center" wrapText="1"/>
      <protection/>
    </xf>
    <xf numFmtId="0" fontId="72" fillId="36" borderId="14" xfId="0" applyFont="1" applyFill="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2" fontId="0" fillId="34" borderId="10" xfId="0" applyNumberFormat="1" applyFont="1" applyFill="1" applyBorder="1" applyAlignment="1" applyProtection="1">
      <alignment horizontal="center" vertical="center"/>
      <protection locked="0"/>
    </xf>
    <xf numFmtId="2" fontId="0" fillId="34" borderId="10" xfId="0" applyNumberFormat="1" applyFont="1" applyFill="1" applyBorder="1" applyAlignment="1" applyProtection="1">
      <alignment horizontal="center" vertical="center" wrapText="1"/>
      <protection locked="0"/>
    </xf>
    <xf numFmtId="0" fontId="29" fillId="35" borderId="20" xfId="0" applyFont="1" applyFill="1" applyBorder="1" applyAlignment="1" applyProtection="1">
      <alignment wrapText="1"/>
      <protection/>
    </xf>
    <xf numFmtId="0" fontId="29" fillId="35" borderId="10" xfId="0" applyFont="1" applyFill="1" applyBorder="1" applyAlignment="1" applyProtection="1">
      <alignment horizontal="center" wrapText="1"/>
      <protection/>
    </xf>
    <xf numFmtId="2" fontId="29" fillId="35" borderId="39" xfId="0" applyNumberFormat="1" applyFont="1" applyFill="1" applyBorder="1" applyAlignment="1" applyProtection="1">
      <alignment horizontal="center" wrapText="1"/>
      <protection/>
    </xf>
    <xf numFmtId="0" fontId="5" fillId="34" borderId="20" xfId="0" applyFont="1" applyFill="1" applyBorder="1" applyAlignment="1" applyProtection="1">
      <alignment horizontal="center" vertical="center"/>
      <protection/>
    </xf>
    <xf numFmtId="2" fontId="72" fillId="36" borderId="13" xfId="0" applyNumberFormat="1" applyFont="1" applyFill="1" applyBorder="1" applyAlignment="1" applyProtection="1">
      <alignment horizontal="center" vertical="center" wrapText="1"/>
      <protection/>
    </xf>
    <xf numFmtId="2" fontId="72" fillId="36" borderId="18" xfId="0" applyNumberFormat="1" applyFont="1" applyFill="1" applyBorder="1" applyAlignment="1" applyProtection="1">
      <alignment horizontal="center" vertical="center" wrapText="1"/>
      <protection/>
    </xf>
    <xf numFmtId="2" fontId="0" fillId="35" borderId="10" xfId="0" applyNumberFormat="1" applyFont="1" applyFill="1" applyBorder="1" applyAlignment="1" applyProtection="1">
      <alignment horizontal="center" vertical="center"/>
      <protection locked="0"/>
    </xf>
    <xf numFmtId="2" fontId="72" fillId="33" borderId="10" xfId="0" applyNumberFormat="1" applyFont="1" applyFill="1" applyBorder="1" applyAlignment="1" applyProtection="1">
      <alignment vertical="center" wrapText="1"/>
      <protection locked="0"/>
    </xf>
    <xf numFmtId="2" fontId="72" fillId="0" borderId="15" xfId="0" applyNumberFormat="1" applyFont="1" applyFill="1" applyBorder="1" applyAlignment="1" applyProtection="1">
      <alignment horizontal="left" vertical="center" wrapText="1"/>
      <protection locked="0"/>
    </xf>
    <xf numFmtId="2" fontId="0" fillId="0" borderId="15" xfId="0" applyNumberFormat="1" applyFont="1" applyFill="1" applyBorder="1" applyAlignment="1" applyProtection="1">
      <alignment horizontal="center" vertical="center"/>
      <protection locked="0"/>
    </xf>
    <xf numFmtId="2" fontId="72" fillId="36" borderId="18" xfId="0" applyNumberFormat="1" applyFont="1" applyFill="1" applyBorder="1" applyAlignment="1" applyProtection="1">
      <alignment horizontal="center" vertical="center"/>
      <protection/>
    </xf>
    <xf numFmtId="2" fontId="0" fillId="0" borderId="15" xfId="0" applyNumberFormat="1" applyFont="1" applyBorder="1" applyAlignment="1" applyProtection="1">
      <alignment horizontal="center" vertical="center"/>
      <protection locked="0"/>
    </xf>
    <xf numFmtId="2" fontId="0" fillId="39" borderId="10" xfId="0" applyNumberFormat="1" applyFont="1" applyFill="1" applyBorder="1" applyAlignment="1" applyProtection="1">
      <alignment horizontal="center" vertical="center"/>
      <protection locked="0"/>
    </xf>
    <xf numFmtId="2" fontId="0" fillId="37" borderId="15" xfId="0" applyNumberFormat="1" applyFont="1" applyFill="1" applyBorder="1" applyAlignment="1" applyProtection="1">
      <alignment horizontal="center" vertical="center"/>
      <protection locked="0"/>
    </xf>
    <xf numFmtId="2" fontId="72" fillId="0" borderId="10" xfId="0" applyNumberFormat="1" applyFont="1" applyFill="1" applyBorder="1" applyAlignment="1" applyProtection="1">
      <alignment horizontal="center" vertical="center"/>
      <protection/>
    </xf>
    <xf numFmtId="2" fontId="72" fillId="36" borderId="16" xfId="0" applyNumberFormat="1" applyFont="1" applyFill="1" applyBorder="1" applyAlignment="1" applyProtection="1">
      <alignment horizontal="center" vertical="center"/>
      <protection/>
    </xf>
    <xf numFmtId="2" fontId="0" fillId="34" borderId="15" xfId="0" applyNumberFormat="1" applyFont="1" applyFill="1" applyBorder="1" applyAlignment="1" applyProtection="1">
      <alignment horizontal="center" vertical="center"/>
      <protection locked="0"/>
    </xf>
    <xf numFmtId="2" fontId="72" fillId="36" borderId="40" xfId="0" applyNumberFormat="1" applyFont="1" applyFill="1" applyBorder="1" applyAlignment="1" applyProtection="1">
      <alignment horizontal="center" vertical="center"/>
      <protection/>
    </xf>
    <xf numFmtId="2" fontId="72" fillId="36" borderId="14" xfId="0" applyNumberFormat="1" applyFont="1" applyFill="1" applyBorder="1" applyAlignment="1" applyProtection="1">
      <alignment horizontal="center" vertical="center"/>
      <protection/>
    </xf>
    <xf numFmtId="2" fontId="72" fillId="0" borderId="10" xfId="0" applyNumberFormat="1" applyFont="1" applyFill="1" applyBorder="1" applyAlignment="1" applyProtection="1">
      <alignment vertical="center"/>
      <protection/>
    </xf>
    <xf numFmtId="2" fontId="0" fillId="33" borderId="15" xfId="0" applyNumberFormat="1" applyFont="1" applyFill="1" applyBorder="1" applyAlignment="1" applyProtection="1">
      <alignment horizontal="center" vertical="center"/>
      <protection locked="0"/>
    </xf>
    <xf numFmtId="2" fontId="72" fillId="35" borderId="0" xfId="0" applyNumberFormat="1" applyFont="1" applyFill="1" applyBorder="1" applyAlignment="1" applyProtection="1">
      <alignment horizontal="center" vertical="center"/>
      <protection locked="0"/>
    </xf>
    <xf numFmtId="2" fontId="72" fillId="33" borderId="11" xfId="0" applyNumberFormat="1" applyFont="1" applyFill="1" applyBorder="1" applyAlignment="1" applyProtection="1">
      <alignment horizontal="center" vertical="center"/>
      <protection locked="0"/>
    </xf>
    <xf numFmtId="2" fontId="72" fillId="33" borderId="15" xfId="0" applyNumberFormat="1" applyFont="1" applyFill="1" applyBorder="1" applyAlignment="1" applyProtection="1">
      <alignment vertical="center" wrapText="1"/>
      <protection locked="0"/>
    </xf>
    <xf numFmtId="2" fontId="72" fillId="36" borderId="10" xfId="0" applyNumberFormat="1" applyFont="1" applyFill="1" applyBorder="1" applyAlignment="1" applyProtection="1">
      <alignment horizontal="center" vertical="center" wrapText="1"/>
      <protection/>
    </xf>
    <xf numFmtId="2" fontId="72" fillId="36" borderId="11" xfId="0" applyNumberFormat="1" applyFont="1" applyFill="1" applyBorder="1" applyAlignment="1" applyProtection="1">
      <alignment horizontal="center" vertical="center" wrapText="1"/>
      <protection/>
    </xf>
    <xf numFmtId="0" fontId="0" fillId="2" borderId="10" xfId="0" applyFont="1" applyFill="1" applyBorder="1" applyAlignment="1" applyProtection="1">
      <alignment horizontal="center" vertical="center" wrapText="1"/>
      <protection locked="0"/>
    </xf>
    <xf numFmtId="2" fontId="72" fillId="36" borderId="16" xfId="0" applyNumberFormat="1" applyFont="1" applyFill="1" applyBorder="1" applyAlignment="1" applyProtection="1">
      <alignment horizontal="center" vertical="center" wrapText="1"/>
      <protection/>
    </xf>
    <xf numFmtId="0" fontId="72" fillId="36" borderId="18" xfId="0" applyFont="1" applyFill="1" applyBorder="1" applyAlignment="1" applyProtection="1">
      <alignment horizontal="left" vertical="center"/>
      <protection/>
    </xf>
    <xf numFmtId="2" fontId="0" fillId="0" borderId="10" xfId="0" applyNumberFormat="1" applyFont="1" applyBorder="1" applyAlignment="1" applyProtection="1">
      <alignment horizontal="center" vertical="center"/>
      <protection/>
    </xf>
    <xf numFmtId="2" fontId="0" fillId="40" borderId="11" xfId="0" applyNumberFormat="1" applyFont="1" applyFill="1" applyBorder="1" applyAlignment="1" applyProtection="1">
      <alignment horizontal="center" vertical="center"/>
      <protection/>
    </xf>
    <xf numFmtId="0" fontId="72" fillId="36" borderId="21" xfId="0" applyFont="1" applyFill="1" applyBorder="1" applyAlignment="1" applyProtection="1">
      <alignment vertical="center" wrapText="1"/>
      <protection/>
    </xf>
    <xf numFmtId="0" fontId="72" fillId="36" borderId="21" xfId="0" applyFont="1" applyFill="1" applyBorder="1" applyAlignment="1" applyProtection="1">
      <alignment horizontal="center" vertical="center" wrapText="1"/>
      <protection/>
    </xf>
    <xf numFmtId="2" fontId="72" fillId="36" borderId="21" xfId="0" applyNumberFormat="1" applyFont="1" applyFill="1" applyBorder="1" applyAlignment="1" applyProtection="1">
      <alignment horizontal="center" vertical="center" wrapText="1"/>
      <protection/>
    </xf>
    <xf numFmtId="0" fontId="0" fillId="41" borderId="10"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pplyProtection="1">
      <alignment vertical="center" wrapText="1"/>
      <protection/>
    </xf>
    <xf numFmtId="0" fontId="33" fillId="0" borderId="10" xfId="0" applyFont="1" applyFill="1" applyBorder="1" applyAlignment="1" applyProtection="1">
      <alignment horizontal="left" vertical="center" wrapText="1"/>
      <protection/>
    </xf>
    <xf numFmtId="2" fontId="33" fillId="0" borderId="10" xfId="0" applyNumberFormat="1" applyFont="1" applyFill="1" applyBorder="1" applyAlignment="1" applyProtection="1">
      <alignment horizontal="center" vertical="center" wrapText="1"/>
      <protection/>
    </xf>
    <xf numFmtId="0" fontId="33" fillId="34" borderId="25" xfId="0" applyFont="1" applyFill="1" applyBorder="1" applyAlignment="1" applyProtection="1">
      <alignment horizontal="center" vertical="center" wrapText="1"/>
      <protection/>
    </xf>
    <xf numFmtId="0" fontId="33" fillId="34" borderId="25" xfId="0" applyFont="1" applyFill="1" applyBorder="1" applyAlignment="1" applyProtection="1">
      <alignment vertical="center" wrapText="1"/>
      <protection/>
    </xf>
    <xf numFmtId="0" fontId="33" fillId="34" borderId="11" xfId="0" applyFont="1" applyFill="1" applyBorder="1" applyAlignment="1" applyProtection="1">
      <alignment horizontal="left" vertical="center" wrapText="1"/>
      <protection/>
    </xf>
    <xf numFmtId="2" fontId="33" fillId="34" borderId="11" xfId="0" applyNumberFormat="1" applyFont="1" applyFill="1" applyBorder="1" applyAlignment="1" applyProtection="1">
      <alignment horizontal="center" vertical="center" wrapText="1"/>
      <protection/>
    </xf>
    <xf numFmtId="0" fontId="33" fillId="3" borderId="10" xfId="0" applyFont="1" applyFill="1" applyBorder="1" applyAlignment="1" applyProtection="1">
      <alignment vertical="center" wrapText="1"/>
      <protection/>
    </xf>
    <xf numFmtId="0" fontId="33" fillId="3" borderId="10" xfId="0" applyFont="1" applyFill="1" applyBorder="1" applyAlignment="1" applyProtection="1">
      <alignment horizontal="center" vertical="center" wrapText="1"/>
      <protection/>
    </xf>
    <xf numFmtId="0" fontId="72" fillId="3" borderId="0" xfId="0" applyFont="1" applyFill="1" applyAlignment="1" applyProtection="1">
      <alignment vertical="center"/>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lignment vertical="center" wrapText="1"/>
    </xf>
    <xf numFmtId="2" fontId="0" fillId="34"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vertical="center" wrapText="1"/>
    </xf>
    <xf numFmtId="2" fontId="0" fillId="33"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Border="1" applyAlignment="1">
      <alignment vertical="center" wrapText="1"/>
    </xf>
    <xf numFmtId="1" fontId="0" fillId="0" borderId="15" xfId="0" applyNumberFormat="1" applyFont="1" applyBorder="1" applyAlignment="1">
      <alignment horizontal="center" vertical="center" wrapText="1"/>
    </xf>
    <xf numFmtId="0" fontId="0" fillId="0" borderId="15" xfId="0" applyFont="1" applyFill="1" applyBorder="1" applyAlignment="1">
      <alignment vertical="center" wrapText="1"/>
    </xf>
    <xf numFmtId="164" fontId="0" fillId="0" borderId="10" xfId="0" applyNumberFormat="1" applyFont="1" applyFill="1" applyBorder="1" applyAlignment="1">
      <alignment horizontal="center" vertical="center" wrapText="1"/>
    </xf>
    <xf numFmtId="0" fontId="72" fillId="34" borderId="11" xfId="0" applyFont="1" applyFill="1" applyBorder="1" applyAlignment="1" applyProtection="1">
      <alignment vertical="center" wrapText="1"/>
      <protection locked="0"/>
    </xf>
    <xf numFmtId="0" fontId="72" fillId="34" borderId="15" xfId="0" applyFont="1" applyFill="1" applyBorder="1" applyAlignment="1">
      <alignment vertical="center" wrapText="1"/>
    </xf>
    <xf numFmtId="166" fontId="0" fillId="0" borderId="11" xfId="0" applyNumberFormat="1" applyFont="1" applyFill="1" applyBorder="1" applyAlignment="1">
      <alignment horizontal="center" vertical="center" wrapText="1"/>
    </xf>
    <xf numFmtId="166" fontId="0" fillId="0" borderId="0" xfId="0" applyNumberFormat="1" applyFont="1" applyAlignment="1">
      <alignment vertical="center"/>
    </xf>
    <xf numFmtId="164" fontId="0" fillId="0" borderId="10" xfId="0" applyNumberFormat="1"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82" fillId="34" borderId="10" xfId="0" applyFont="1" applyFill="1" applyBorder="1" applyAlignment="1" applyProtection="1">
      <alignment horizontal="center" vertical="center" wrapText="1"/>
      <protection locked="0"/>
    </xf>
    <xf numFmtId="0" fontId="82" fillId="34" borderId="15"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protection locked="0"/>
    </xf>
    <xf numFmtId="0" fontId="72" fillId="33" borderId="11" xfId="0" applyFont="1" applyFill="1" applyBorder="1" applyAlignment="1">
      <alignment horizontal="center" vertical="top" wrapText="1"/>
    </xf>
    <xf numFmtId="0" fontId="72" fillId="33" borderId="15" xfId="0" applyFont="1" applyFill="1" applyBorder="1" applyAlignment="1">
      <alignment horizontal="center" vertical="top" wrapText="1"/>
    </xf>
    <xf numFmtId="0" fontId="72" fillId="0" borderId="10" xfId="0" applyFont="1" applyBorder="1" applyAlignment="1" applyProtection="1">
      <alignment horizontal="center" vertical="center" wrapText="1"/>
      <protection/>
    </xf>
    <xf numFmtId="0" fontId="33" fillId="0" borderId="20" xfId="0" applyFont="1" applyBorder="1" applyAlignment="1" applyProtection="1">
      <alignment horizontal="center" vertical="center" wrapText="1"/>
      <protection/>
    </xf>
    <xf numFmtId="0" fontId="59"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0" borderId="10" xfId="0" applyFont="1" applyBorder="1" applyAlignment="1" applyProtection="1">
      <alignment vertical="top"/>
      <protection/>
    </xf>
    <xf numFmtId="0" fontId="83" fillId="0" borderId="10" xfId="0" applyFont="1" applyBorder="1" applyAlignment="1" applyProtection="1">
      <alignment vertical="top" wrapText="1"/>
      <protection/>
    </xf>
    <xf numFmtId="0" fontId="0" fillId="0" borderId="0" xfId="0" applyFont="1" applyFill="1" applyAlignment="1" applyProtection="1">
      <alignment vertical="top" wrapText="1"/>
      <protection/>
    </xf>
    <xf numFmtId="0" fontId="77" fillId="39" borderId="10" xfId="0"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top" wrapText="1"/>
      <protection/>
    </xf>
    <xf numFmtId="0" fontId="72" fillId="0" borderId="0" xfId="0" applyFont="1" applyFill="1" applyBorder="1" applyAlignment="1" applyProtection="1">
      <alignment horizontal="center" vertical="top" wrapText="1"/>
      <protection/>
    </xf>
    <xf numFmtId="0" fontId="72" fillId="0" borderId="10" xfId="0" applyFont="1" applyBorder="1" applyAlignment="1" applyProtection="1">
      <alignment vertical="center" wrapText="1"/>
      <protection/>
    </xf>
    <xf numFmtId="0" fontId="0" fillId="0" borderId="0" xfId="0" applyFont="1" applyFill="1" applyBorder="1" applyAlignment="1" applyProtection="1">
      <alignment vertical="top" wrapText="1"/>
      <protection/>
    </xf>
    <xf numFmtId="0" fontId="38" fillId="0" borderId="1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vertical="top" wrapText="1"/>
      <protection/>
    </xf>
    <xf numFmtId="0" fontId="83" fillId="0" borderId="10" xfId="0" applyFont="1" applyFill="1" applyBorder="1" applyAlignment="1" applyProtection="1">
      <alignment vertical="top" wrapText="1"/>
      <protection/>
    </xf>
    <xf numFmtId="0" fontId="72" fillId="0" borderId="0" xfId="0" applyFont="1" applyFill="1" applyBorder="1" applyAlignment="1" applyProtection="1">
      <alignment vertical="top" wrapText="1"/>
      <protection/>
    </xf>
    <xf numFmtId="0" fontId="72" fillId="0" borderId="0" xfId="0" applyFont="1" applyAlignment="1" applyProtection="1">
      <alignment/>
      <protection/>
    </xf>
    <xf numFmtId="0" fontId="72" fillId="0" borderId="10" xfId="0" applyFont="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72" fillId="35" borderId="10" xfId="0" applyFont="1" applyFill="1" applyBorder="1" applyAlignment="1" applyProtection="1">
      <alignment horizontal="center" vertical="center"/>
      <protection/>
    </xf>
    <xf numFmtId="0" fontId="72" fillId="0" borderId="0" xfId="0" applyFont="1" applyFill="1" applyAlignment="1" applyProtection="1">
      <alignment vertical="top" wrapText="1"/>
      <protection/>
    </xf>
    <xf numFmtId="0" fontId="0" fillId="0" borderId="0" xfId="0" applyFont="1" applyAlignment="1" applyProtection="1">
      <alignment vertical="top"/>
      <protection/>
    </xf>
    <xf numFmtId="0" fontId="83" fillId="0" borderId="0" xfId="0" applyFont="1" applyAlignment="1" applyProtection="1">
      <alignment vertical="top" wrapText="1"/>
      <protection/>
    </xf>
    <xf numFmtId="0" fontId="0" fillId="0" borderId="0" xfId="0" applyFont="1" applyAlignment="1" applyProtection="1">
      <alignment horizontal="center"/>
      <protection/>
    </xf>
    <xf numFmtId="0" fontId="0" fillId="0" borderId="10" xfId="0" applyFont="1" applyBorder="1" applyAlignment="1" applyProtection="1">
      <alignment horizontal="left" vertical="center" wrapText="1"/>
      <protection/>
    </xf>
    <xf numFmtId="0" fontId="72" fillId="34" borderId="19" xfId="0" applyFont="1" applyFill="1" applyBorder="1" applyAlignment="1">
      <alignment horizontal="center" vertical="center" wrapText="1"/>
    </xf>
    <xf numFmtId="0" fontId="0" fillId="34" borderId="10" xfId="0" applyFont="1" applyFill="1" applyBorder="1" applyAlignment="1">
      <alignment horizontal="left" vertical="center"/>
    </xf>
    <xf numFmtId="0" fontId="0" fillId="34" borderId="10" xfId="0" applyFont="1" applyFill="1" applyBorder="1" applyAlignment="1">
      <alignment vertical="center"/>
    </xf>
    <xf numFmtId="0" fontId="0" fillId="34" borderId="31" xfId="0" applyFont="1" applyFill="1" applyBorder="1" applyAlignment="1">
      <alignment vertical="center"/>
    </xf>
    <xf numFmtId="0" fontId="0" fillId="0" borderId="10" xfId="0" applyFont="1" applyBorder="1" applyAlignment="1" applyProtection="1">
      <alignment vertical="center"/>
      <protection locked="0"/>
    </xf>
    <xf numFmtId="0" fontId="0" fillId="0" borderId="31" xfId="0" applyFont="1" applyBorder="1" applyAlignment="1" applyProtection="1">
      <alignment horizontal="center" vertical="center"/>
      <protection locked="0"/>
    </xf>
    <xf numFmtId="2" fontId="0" fillId="40" borderId="41" xfId="0" applyNumberFormat="1" applyFont="1" applyFill="1" applyBorder="1" applyAlignment="1" applyProtection="1">
      <alignment horizontal="center" vertical="center"/>
      <protection/>
    </xf>
    <xf numFmtId="2" fontId="0" fillId="40" borderId="31" xfId="0" applyNumberFormat="1" applyFont="1" applyFill="1" applyBorder="1" applyAlignment="1" applyProtection="1">
      <alignment horizontal="center" vertical="center"/>
      <protection/>
    </xf>
    <xf numFmtId="0" fontId="72" fillId="33" borderId="20" xfId="0" applyFont="1" applyFill="1" applyBorder="1" applyAlignment="1" applyProtection="1">
      <alignment horizontal="center" vertical="center"/>
      <protection/>
    </xf>
    <xf numFmtId="0" fontId="72" fillId="33" borderId="10" xfId="0" applyFont="1" applyFill="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0" borderId="15" xfId="0" applyFont="1" applyBorder="1" applyAlignment="1" applyProtection="1">
      <alignment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72" fillId="0" borderId="20" xfId="0" applyFont="1" applyBorder="1" applyAlignment="1" applyProtection="1">
      <alignment horizontal="left" vertical="center"/>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0" fontId="0" fillId="0" borderId="43"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72" fillId="0" borderId="10" xfId="0" applyFont="1" applyFill="1" applyBorder="1" applyAlignment="1" applyProtection="1">
      <alignment vertical="center" wrapText="1"/>
      <protection/>
    </xf>
    <xf numFmtId="0" fontId="72" fillId="34" borderId="20" xfId="0" applyFont="1" applyFill="1" applyBorder="1" applyAlignment="1" applyProtection="1">
      <alignment horizontal="center" vertical="center"/>
      <protection/>
    </xf>
    <xf numFmtId="0" fontId="72" fillId="34" borderId="10" xfId="0" applyFont="1" applyFill="1" applyBorder="1" applyAlignment="1" applyProtection="1">
      <alignment vertical="center" wrapText="1"/>
      <protection/>
    </xf>
    <xf numFmtId="0" fontId="72" fillId="34" borderId="10" xfId="0"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35" borderId="10" xfId="0" applyFont="1" applyFill="1" applyBorder="1" applyAlignment="1" applyProtection="1">
      <alignment horizontal="center" vertical="center" wrapText="1"/>
      <protection/>
    </xf>
    <xf numFmtId="0" fontId="0" fillId="0" borderId="15" xfId="0" applyFont="1" applyBorder="1" applyAlignment="1" applyProtection="1">
      <alignment vertical="center"/>
      <protection/>
    </xf>
    <xf numFmtId="0" fontId="82" fillId="34" borderId="20" xfId="0" applyFont="1" applyFill="1" applyBorder="1" applyAlignment="1" applyProtection="1">
      <alignment horizontal="center" vertical="center"/>
      <protection/>
    </xf>
    <xf numFmtId="0" fontId="82" fillId="34" borderId="10" xfId="0" applyFont="1" applyFill="1" applyBorder="1" applyAlignment="1" applyProtection="1">
      <alignment vertical="center" wrapText="1"/>
      <protection/>
    </xf>
    <xf numFmtId="0" fontId="82" fillId="0" borderId="10" xfId="0" applyFont="1" applyFill="1" applyBorder="1" applyAlignment="1" applyProtection="1">
      <alignment horizontal="center" vertical="center" wrapText="1"/>
      <protection/>
    </xf>
    <xf numFmtId="0" fontId="82" fillId="0" borderId="10" xfId="0" applyFont="1" applyBorder="1" applyAlignment="1" applyProtection="1">
      <alignment horizontal="center" vertical="center" wrapText="1"/>
      <protection/>
    </xf>
    <xf numFmtId="0" fontId="0" fillId="0" borderId="39" xfId="0" applyFont="1" applyBorder="1" applyAlignment="1" applyProtection="1">
      <alignment horizontal="center" vertical="center"/>
      <protection/>
    </xf>
    <xf numFmtId="0" fontId="82" fillId="34" borderId="10" xfId="0" applyFont="1" applyFill="1" applyBorder="1" applyAlignment="1" applyProtection="1">
      <alignment horizontal="center" vertical="center"/>
      <protection/>
    </xf>
    <xf numFmtId="0" fontId="72" fillId="35" borderId="15" xfId="0" applyFont="1" applyFill="1" applyBorder="1" applyAlignment="1" applyProtection="1">
      <alignment horizontal="center" vertical="center"/>
      <protection/>
    </xf>
    <xf numFmtId="0" fontId="72" fillId="35" borderId="15" xfId="0" applyFont="1" applyFill="1" applyBorder="1" applyAlignment="1" applyProtection="1">
      <alignment vertical="center"/>
      <protection/>
    </xf>
    <xf numFmtId="0" fontId="72" fillId="35" borderId="15" xfId="0" applyFont="1" applyFill="1" applyBorder="1" applyAlignment="1" applyProtection="1">
      <alignment horizontal="center" vertical="center" wrapText="1"/>
      <protection/>
    </xf>
    <xf numFmtId="0" fontId="72" fillId="35" borderId="11" xfId="0" applyFont="1" applyFill="1" applyBorder="1" applyAlignment="1" applyProtection="1">
      <alignment horizontal="center" vertical="center"/>
      <protection/>
    </xf>
    <xf numFmtId="0" fontId="72" fillId="35" borderId="11" xfId="0" applyFont="1" applyFill="1" applyBorder="1" applyAlignment="1" applyProtection="1">
      <alignment vertical="center"/>
      <protection/>
    </xf>
    <xf numFmtId="0" fontId="72" fillId="35" borderId="11" xfId="0" applyFont="1" applyFill="1" applyBorder="1" applyAlignment="1" applyProtection="1">
      <alignment horizontal="center" vertical="center" wrapText="1"/>
      <protection/>
    </xf>
    <xf numFmtId="0" fontId="72" fillId="39" borderId="20" xfId="0" applyFont="1" applyFill="1" applyBorder="1" applyAlignment="1" applyProtection="1">
      <alignment horizontal="center" vertical="center"/>
      <protection/>
    </xf>
    <xf numFmtId="0" fontId="72" fillId="39" borderId="10" xfId="0" applyFont="1" applyFill="1" applyBorder="1" applyAlignment="1" applyProtection="1">
      <alignment vertical="center" wrapText="1"/>
      <protection/>
    </xf>
    <xf numFmtId="0" fontId="72" fillId="39" borderId="10" xfId="0" applyFont="1" applyFill="1" applyBorder="1" applyAlignment="1" applyProtection="1">
      <alignment horizontal="center" vertical="center" wrapText="1"/>
      <protection/>
    </xf>
    <xf numFmtId="0" fontId="0" fillId="39" borderId="10" xfId="0" applyFont="1" applyFill="1" applyBorder="1" applyAlignment="1" applyProtection="1">
      <alignment horizontal="center" vertical="center"/>
      <protection/>
    </xf>
    <xf numFmtId="0" fontId="80" fillId="0" borderId="10" xfId="0" applyFont="1" applyBorder="1" applyAlignment="1" applyProtection="1">
      <alignment horizontal="center" vertical="center" wrapText="1"/>
      <protection/>
    </xf>
    <xf numFmtId="0" fontId="83" fillId="0" borderId="10" xfId="0" applyFont="1" applyBorder="1" applyAlignment="1" applyProtection="1">
      <alignment horizontal="center" vertical="center" wrapText="1"/>
      <protection/>
    </xf>
    <xf numFmtId="0" fontId="82" fillId="34" borderId="26" xfId="0" applyFont="1" applyFill="1" applyBorder="1" applyAlignment="1" applyProtection="1">
      <alignment horizontal="center" vertical="center"/>
      <protection/>
    </xf>
    <xf numFmtId="0" fontId="82" fillId="34" borderId="15" xfId="0" applyFont="1" applyFill="1" applyBorder="1" applyAlignment="1" applyProtection="1">
      <alignment vertical="center" wrapText="1"/>
      <protection/>
    </xf>
    <xf numFmtId="0" fontId="72" fillId="33" borderId="26" xfId="0" applyFont="1" applyFill="1" applyBorder="1" applyAlignment="1" applyProtection="1">
      <alignment horizontal="center" vertical="center"/>
      <protection/>
    </xf>
    <xf numFmtId="0" fontId="72" fillId="33" borderId="15" xfId="0" applyFont="1" applyFill="1" applyBorder="1" applyAlignment="1" applyProtection="1">
      <alignment vertical="center" wrapText="1"/>
      <protection/>
    </xf>
    <xf numFmtId="0" fontId="72" fillId="33" borderId="15"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protection/>
    </xf>
    <xf numFmtId="0" fontId="82" fillId="0" borderId="20" xfId="0" applyFont="1" applyBorder="1" applyAlignment="1" applyProtection="1">
      <alignment horizontal="center" vertical="center"/>
      <protection/>
    </xf>
    <xf numFmtId="0" fontId="82" fillId="0" borderId="10" xfId="0" applyFont="1" applyBorder="1" applyAlignment="1" applyProtection="1">
      <alignment vertical="center" wrapText="1"/>
      <protection/>
    </xf>
    <xf numFmtId="0" fontId="72" fillId="0" borderId="26" xfId="0" applyFont="1" applyBorder="1" applyAlignment="1" applyProtection="1">
      <alignment horizontal="center" vertical="center"/>
      <protection/>
    </xf>
    <xf numFmtId="0" fontId="72" fillId="0" borderId="15" xfId="0" applyFont="1" applyBorder="1" applyAlignment="1" applyProtection="1">
      <alignment vertical="center" wrapText="1"/>
      <protection/>
    </xf>
    <xf numFmtId="0" fontId="72" fillId="0" borderId="15" xfId="0" applyFont="1" applyBorder="1" applyAlignment="1" applyProtection="1">
      <alignment horizontal="center" vertical="center" wrapText="1"/>
      <protection/>
    </xf>
    <xf numFmtId="0" fontId="0" fillId="37" borderId="10" xfId="0" applyFont="1" applyFill="1" applyBorder="1" applyAlignment="1" applyProtection="1">
      <alignment vertical="center" wrapText="1"/>
      <protection/>
    </xf>
    <xf numFmtId="0" fontId="82" fillId="33" borderId="20" xfId="0" applyFont="1" applyFill="1" applyBorder="1" applyAlignment="1" applyProtection="1">
      <alignment horizontal="center" vertical="center"/>
      <protection/>
    </xf>
    <xf numFmtId="0" fontId="82" fillId="33" borderId="10" xfId="0" applyFont="1" applyFill="1" applyBorder="1" applyAlignment="1" applyProtection="1">
      <alignment vertical="center" wrapText="1"/>
      <protection/>
    </xf>
    <xf numFmtId="0" fontId="82"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protection/>
    </xf>
    <xf numFmtId="0" fontId="72" fillId="35" borderId="27" xfId="0" applyFont="1" applyFill="1" applyBorder="1" applyAlignment="1" applyProtection="1">
      <alignment horizontal="center" vertical="center"/>
      <protection/>
    </xf>
    <xf numFmtId="0" fontId="72" fillId="33" borderId="42" xfId="0" applyFont="1" applyFill="1" applyBorder="1" applyAlignment="1" applyProtection="1">
      <alignment horizontal="center" vertical="center"/>
      <protection/>
    </xf>
    <xf numFmtId="0" fontId="72" fillId="33" borderId="11" xfId="0" applyFont="1" applyFill="1" applyBorder="1" applyAlignment="1" applyProtection="1">
      <alignment vertical="center"/>
      <protection/>
    </xf>
    <xf numFmtId="0" fontId="72" fillId="33" borderId="11" xfId="0" applyFont="1" applyFill="1" applyBorder="1" applyAlignment="1" applyProtection="1">
      <alignment horizontal="center" vertical="center" wrapText="1"/>
      <protection/>
    </xf>
    <xf numFmtId="0" fontId="72" fillId="33" borderId="11" xfId="0" applyFont="1" applyFill="1" applyBorder="1" applyAlignment="1" applyProtection="1">
      <alignment horizontal="center" vertical="center"/>
      <protection/>
    </xf>
    <xf numFmtId="0" fontId="72" fillId="33" borderId="44" xfId="0" applyFont="1" applyFill="1" applyBorder="1" applyAlignment="1" applyProtection="1">
      <alignment horizontal="center" vertical="center"/>
      <protection/>
    </xf>
    <xf numFmtId="0" fontId="72" fillId="33" borderId="41" xfId="0" applyFont="1" applyFill="1" applyBorder="1" applyAlignment="1" applyProtection="1">
      <alignment vertical="center" wrapText="1"/>
      <protection/>
    </xf>
    <xf numFmtId="0" fontId="72" fillId="33" borderId="41" xfId="0" applyFont="1" applyFill="1" applyBorder="1" applyAlignment="1" applyProtection="1">
      <alignment horizontal="center" vertical="center" wrapText="1"/>
      <protection/>
    </xf>
    <xf numFmtId="0" fontId="72" fillId="33" borderId="41"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72" fillId="33" borderId="11" xfId="0" applyFont="1" applyFill="1" applyBorder="1" applyAlignment="1" applyProtection="1">
      <alignment vertical="center" wrapText="1"/>
      <protection/>
    </xf>
    <xf numFmtId="0" fontId="0" fillId="38" borderId="18" xfId="0" applyFont="1" applyFill="1" applyBorder="1" applyAlignment="1" applyProtection="1">
      <alignment horizontal="center" vertical="center"/>
      <protection/>
    </xf>
    <xf numFmtId="0" fontId="0" fillId="0" borderId="45" xfId="0" applyFont="1" applyFill="1" applyBorder="1" applyAlignment="1" applyProtection="1">
      <alignment vertical="center" wrapText="1"/>
      <protection/>
    </xf>
    <xf numFmtId="0" fontId="0" fillId="0" borderId="18" xfId="0" applyFont="1" applyFill="1" applyBorder="1" applyAlignment="1" applyProtection="1">
      <alignment horizontal="center" vertical="center"/>
      <protection/>
    </xf>
    <xf numFmtId="0" fontId="72" fillId="0" borderId="46" xfId="0" applyFont="1" applyBorder="1" applyAlignment="1" applyProtection="1">
      <alignment horizontal="left" vertical="center"/>
      <protection/>
    </xf>
    <xf numFmtId="0" fontId="0" fillId="40" borderId="18" xfId="0" applyFont="1" applyFill="1" applyBorder="1" applyAlignment="1" applyProtection="1">
      <alignment horizontal="center" vertical="center"/>
      <protection/>
    </xf>
    <xf numFmtId="0" fontId="0" fillId="35" borderId="46" xfId="0" applyFont="1" applyFill="1" applyBorder="1" applyAlignment="1" applyProtection="1">
      <alignment vertical="center" wrapText="1"/>
      <protection/>
    </xf>
    <xf numFmtId="0" fontId="0" fillId="41" borderId="18"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35" borderId="40" xfId="0" applyFont="1" applyFill="1" applyBorder="1" applyAlignment="1" applyProtection="1">
      <alignment vertical="center" wrapText="1"/>
      <protection/>
    </xf>
    <xf numFmtId="0" fontId="0" fillId="41" borderId="10" xfId="0"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72" fillId="36" borderId="37" xfId="0" applyFont="1" applyFill="1" applyBorder="1" applyAlignment="1" applyProtection="1">
      <alignment horizontal="center" vertical="center"/>
      <protection/>
    </xf>
    <xf numFmtId="0" fontId="72" fillId="36" borderId="33" xfId="0" applyFont="1" applyFill="1" applyBorder="1" applyAlignment="1" applyProtection="1">
      <alignment horizontal="center" vertical="center"/>
      <protection/>
    </xf>
    <xf numFmtId="2" fontId="72" fillId="36" borderId="10" xfId="0" applyNumberFormat="1" applyFont="1" applyFill="1" applyBorder="1" applyAlignment="1" applyProtection="1">
      <alignment horizontal="center" vertical="center"/>
      <protection/>
    </xf>
    <xf numFmtId="2" fontId="0" fillId="40" borderId="10" xfId="0" applyNumberFormat="1" applyFont="1" applyFill="1" applyBorder="1" applyAlignment="1" applyProtection="1">
      <alignment horizontal="center" vertical="center"/>
      <protection/>
    </xf>
    <xf numFmtId="2" fontId="0" fillId="41" borderId="11"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wrapText="1"/>
      <protection/>
    </xf>
    <xf numFmtId="2" fontId="72" fillId="34" borderId="10" xfId="0" applyNumberFormat="1" applyFont="1" applyFill="1" applyBorder="1" applyAlignment="1" applyProtection="1">
      <alignment vertical="center" wrapText="1"/>
      <protection/>
    </xf>
    <xf numFmtId="0" fontId="72" fillId="36" borderId="21" xfId="0" applyFont="1" applyFill="1" applyBorder="1" applyAlignment="1" applyProtection="1">
      <alignment horizontal="center" vertical="center"/>
      <protection/>
    </xf>
    <xf numFmtId="0" fontId="72" fillId="36" borderId="21" xfId="0" applyFont="1" applyFill="1" applyBorder="1" applyAlignment="1" applyProtection="1">
      <alignment vertical="center"/>
      <protection/>
    </xf>
    <xf numFmtId="2" fontId="72" fillId="36" borderId="21" xfId="0" applyNumberFormat="1" applyFont="1" applyFill="1" applyBorder="1" applyAlignment="1" applyProtection="1">
      <alignment horizontal="center" vertical="center"/>
      <protection/>
    </xf>
    <xf numFmtId="0" fontId="0" fillId="37" borderId="17" xfId="0" applyFont="1" applyFill="1" applyBorder="1" applyAlignment="1" applyProtection="1">
      <alignment vertical="center" wrapText="1"/>
      <protection locked="0"/>
    </xf>
    <xf numFmtId="0" fontId="0" fillId="0" borderId="19" xfId="0" applyFont="1" applyBorder="1" applyAlignment="1" applyProtection="1">
      <alignment horizontal="center" vertical="center"/>
      <protection/>
    </xf>
    <xf numFmtId="0" fontId="72" fillId="35" borderId="42" xfId="0" applyFont="1" applyFill="1" applyBorder="1" applyAlignment="1" applyProtection="1">
      <alignment horizontal="center" vertical="center"/>
      <protection/>
    </xf>
    <xf numFmtId="0" fontId="72" fillId="0" borderId="19" xfId="0" applyFont="1" applyFill="1" applyBorder="1" applyAlignment="1" applyProtection="1">
      <alignment horizontal="center" vertical="center"/>
      <protection/>
    </xf>
    <xf numFmtId="0" fontId="72" fillId="0" borderId="24" xfId="0" applyFont="1" applyFill="1" applyBorder="1" applyAlignment="1" applyProtection="1">
      <alignment horizontal="center" vertical="center"/>
      <protection/>
    </xf>
    <xf numFmtId="0" fontId="72" fillId="0" borderId="24" xfId="0" applyFont="1" applyFill="1" applyBorder="1" applyAlignment="1" applyProtection="1">
      <alignment vertical="center"/>
      <protection/>
    </xf>
    <xf numFmtId="0" fontId="72" fillId="0" borderId="19" xfId="0" applyFont="1" applyFill="1" applyBorder="1" applyAlignment="1" applyProtection="1">
      <alignment vertical="center"/>
      <protection/>
    </xf>
    <xf numFmtId="0" fontId="82" fillId="34" borderId="19" xfId="0" applyFont="1" applyFill="1" applyBorder="1" applyAlignment="1" applyProtection="1">
      <alignment horizontal="center" vertical="center" wrapText="1"/>
      <protection/>
    </xf>
    <xf numFmtId="0" fontId="72" fillId="33" borderId="47" xfId="0" applyFont="1" applyFill="1" applyBorder="1" applyAlignment="1" applyProtection="1">
      <alignment horizontal="center" vertical="center"/>
      <protection locked="0"/>
    </xf>
    <xf numFmtId="0" fontId="72" fillId="0" borderId="21" xfId="0" applyFont="1" applyFill="1" applyBorder="1" applyAlignment="1" applyProtection="1">
      <alignment horizontal="center" vertical="center"/>
      <protection/>
    </xf>
    <xf numFmtId="0" fontId="72" fillId="33" borderId="19" xfId="0" applyFont="1" applyFill="1" applyBorder="1" applyAlignment="1" applyProtection="1">
      <alignment horizontal="center" vertical="center"/>
      <protection/>
    </xf>
    <xf numFmtId="0" fontId="72" fillId="36" borderId="19" xfId="0" applyFont="1" applyFill="1" applyBorder="1" applyAlignment="1" applyProtection="1">
      <alignment horizontal="center" vertical="center" wrapText="1"/>
      <protection/>
    </xf>
    <xf numFmtId="0" fontId="72" fillId="36" borderId="42" xfId="0" applyFont="1" applyFill="1" applyBorder="1" applyAlignment="1" applyProtection="1">
      <alignment horizontal="center" vertical="center" wrapText="1"/>
      <protection/>
    </xf>
    <xf numFmtId="0" fontId="72" fillId="33" borderId="24" xfId="0" applyFont="1" applyFill="1" applyBorder="1" applyAlignment="1" applyProtection="1">
      <alignment vertical="center" wrapText="1"/>
      <protection locked="0"/>
    </xf>
    <xf numFmtId="0" fontId="0" fillId="0" borderId="19"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72" fillId="33" borderId="30" xfId="0" applyFont="1" applyFill="1" applyBorder="1" applyAlignment="1" applyProtection="1">
      <alignment horizontal="center" vertical="center" wrapText="1"/>
      <protection/>
    </xf>
    <xf numFmtId="0" fontId="72" fillId="33" borderId="31" xfId="0" applyFont="1" applyFill="1" applyBorder="1" applyAlignment="1" applyProtection="1">
      <alignment vertical="center" wrapText="1"/>
      <protection/>
    </xf>
    <xf numFmtId="0" fontId="72" fillId="33" borderId="31" xfId="0" applyFont="1" applyFill="1" applyBorder="1" applyAlignment="1" applyProtection="1">
      <alignment horizontal="center" vertical="center" wrapText="1"/>
      <protection/>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33" fillId="0" borderId="19" xfId="0" applyFont="1" applyFill="1" applyBorder="1" applyAlignment="1" applyProtection="1">
      <alignment horizontal="center" vertical="center" wrapText="1"/>
      <protection/>
    </xf>
    <xf numFmtId="165" fontId="33" fillId="0" borderId="24" xfId="0" applyNumberFormat="1" applyFont="1" applyFill="1" applyBorder="1" applyAlignment="1" applyProtection="1">
      <alignment horizontal="center" vertical="center" wrapText="1"/>
      <protection/>
    </xf>
    <xf numFmtId="0" fontId="29" fillId="0" borderId="19" xfId="0" applyFont="1" applyFill="1" applyBorder="1" applyAlignment="1" applyProtection="1">
      <alignment horizontal="center" vertical="center" wrapText="1"/>
      <protection/>
    </xf>
    <xf numFmtId="165" fontId="29" fillId="0" borderId="24" xfId="0" applyNumberFormat="1" applyFont="1" applyFill="1" applyBorder="1" applyAlignment="1" applyProtection="1">
      <alignment horizontal="center" vertical="center" wrapText="1"/>
      <protection/>
    </xf>
    <xf numFmtId="0" fontId="33" fillId="3" borderId="19" xfId="0" applyFont="1" applyFill="1" applyBorder="1" applyAlignment="1" applyProtection="1">
      <alignment horizontal="center" vertical="center" wrapText="1"/>
      <protection/>
    </xf>
    <xf numFmtId="165" fontId="33" fillId="3" borderId="24" xfId="0" applyNumberFormat="1" applyFont="1" applyFill="1" applyBorder="1" applyAlignment="1" applyProtection="1">
      <alignment horizontal="center" vertical="center" wrapText="1"/>
      <protection/>
    </xf>
    <xf numFmtId="0" fontId="79" fillId="0" borderId="10" xfId="0" applyFont="1" applyBorder="1" applyAlignment="1" applyProtection="1">
      <alignment horizontal="center" vertical="center"/>
      <protection/>
    </xf>
    <xf numFmtId="0" fontId="72" fillId="34" borderId="10" xfId="0" applyFont="1" applyFill="1" applyBorder="1" applyAlignment="1" applyProtection="1">
      <alignment horizontal="center" vertical="center"/>
      <protection/>
    </xf>
    <xf numFmtId="0" fontId="72" fillId="34" borderId="10" xfId="0" applyFont="1" applyFill="1" applyBorder="1" applyAlignment="1" applyProtection="1">
      <alignment horizontal="left" vertical="center"/>
      <protection/>
    </xf>
    <xf numFmtId="0" fontId="0" fillId="0" borderId="10" xfId="0" applyFont="1" applyBorder="1" applyAlignment="1" applyProtection="1">
      <alignment horizontal="left" vertical="center"/>
      <protection/>
    </xf>
    <xf numFmtId="2" fontId="0" fillId="0" borderId="11" xfId="0" applyNumberFormat="1"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0" borderId="15" xfId="0" applyFont="1" applyBorder="1" applyAlignment="1" applyProtection="1">
      <alignment horizontal="left" vertical="center"/>
      <protection/>
    </xf>
    <xf numFmtId="2" fontId="0" fillId="0" borderId="15" xfId="0" applyNumberFormat="1" applyFont="1" applyBorder="1" applyAlignment="1" applyProtection="1">
      <alignment horizontal="center" vertical="center"/>
      <protection/>
    </xf>
    <xf numFmtId="0" fontId="0" fillId="0" borderId="10" xfId="0" applyFont="1" applyBorder="1" applyAlignment="1" applyProtection="1" quotePrefix="1">
      <alignment horizontal="left" vertical="center" wrapText="1"/>
      <protection/>
    </xf>
    <xf numFmtId="0" fontId="72" fillId="34" borderId="10" xfId="0"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protection/>
    </xf>
    <xf numFmtId="2" fontId="72" fillId="34" borderId="10" xfId="0" applyNumberFormat="1" applyFont="1" applyFill="1" applyBorder="1" applyAlignment="1" applyProtection="1">
      <alignment horizontal="center" vertical="center"/>
      <protection/>
    </xf>
    <xf numFmtId="1" fontId="0" fillId="0" borderId="10" xfId="0" applyNumberFormat="1" applyFont="1" applyBorder="1" applyAlignment="1" applyProtection="1">
      <alignment vertical="center"/>
      <protection/>
    </xf>
    <xf numFmtId="2" fontId="0" fillId="0" borderId="10" xfId="0" applyNumberFormat="1" applyFont="1" applyBorder="1" applyAlignment="1" applyProtection="1">
      <alignment vertical="center"/>
      <protection/>
    </xf>
    <xf numFmtId="0" fontId="72" fillId="34" borderId="10" xfId="0" applyFont="1" applyFill="1" applyBorder="1" applyAlignment="1" applyProtection="1">
      <alignment vertical="center"/>
      <protection/>
    </xf>
    <xf numFmtId="1" fontId="72" fillId="34" borderId="10" xfId="0" applyNumberFormat="1" applyFont="1" applyFill="1" applyBorder="1" applyAlignment="1" applyProtection="1">
      <alignment vertical="center"/>
      <protection/>
    </xf>
    <xf numFmtId="2" fontId="72" fillId="34" borderId="10" xfId="0" applyNumberFormat="1" applyFont="1" applyFill="1" applyBorder="1" applyAlignment="1" applyProtection="1">
      <alignment vertical="center"/>
      <protection/>
    </xf>
    <xf numFmtId="2" fontId="72" fillId="34" borderId="39" xfId="0" applyNumberFormat="1" applyFont="1" applyFill="1" applyBorder="1" applyAlignment="1" applyProtection="1">
      <alignment horizontal="center" vertical="center"/>
      <protection/>
    </xf>
    <xf numFmtId="2" fontId="72" fillId="34" borderId="38" xfId="0" applyNumberFormat="1" applyFont="1" applyFill="1" applyBorder="1" applyAlignment="1" applyProtection="1">
      <alignment vertical="center"/>
      <protection/>
    </xf>
    <xf numFmtId="2" fontId="72" fillId="34" borderId="12" xfId="0" applyNumberFormat="1" applyFont="1" applyFill="1" applyBorder="1" applyAlignment="1" applyProtection="1">
      <alignment vertical="center"/>
      <protection/>
    </xf>
    <xf numFmtId="0" fontId="40" fillId="0" borderId="0" xfId="0" applyFont="1" applyAlignment="1" applyProtection="1">
      <alignment horizontal="center" vertical="center"/>
      <protection/>
    </xf>
    <xf numFmtId="0" fontId="40" fillId="0" borderId="0" xfId="0" applyFont="1" applyAlignment="1" applyProtection="1">
      <alignment vertical="center"/>
      <protection/>
    </xf>
    <xf numFmtId="0" fontId="0" fillId="0" borderId="0" xfId="0" applyAlignment="1" applyProtection="1" quotePrefix="1">
      <alignment horizontal="center" vertical="center"/>
      <protection/>
    </xf>
    <xf numFmtId="0" fontId="0" fillId="0" borderId="0" xfId="0" applyAlignment="1" applyProtection="1">
      <alignment/>
      <protection/>
    </xf>
    <xf numFmtId="0" fontId="0" fillId="0" borderId="38" xfId="0" applyFont="1" applyBorder="1" applyAlignment="1">
      <alignment horizontal="center" vertical="center"/>
    </xf>
    <xf numFmtId="2" fontId="72" fillId="34" borderId="10" xfId="0" applyNumberFormat="1" applyFont="1" applyFill="1" applyBorder="1" applyAlignment="1" applyProtection="1">
      <alignment horizontal="center" vertical="center" wrapText="1"/>
      <protection/>
    </xf>
    <xf numFmtId="2" fontId="72" fillId="33" borderId="10" xfId="0" applyNumberFormat="1" applyFont="1" applyFill="1" applyBorder="1" applyAlignment="1">
      <alignment vertical="center" wrapText="1"/>
    </xf>
    <xf numFmtId="0" fontId="5" fillId="0" borderId="0" xfId="0" applyFont="1" applyBorder="1" applyAlignment="1" applyProtection="1">
      <alignment horizontal="left" vertical="center"/>
      <protection locked="0"/>
    </xf>
    <xf numFmtId="0" fontId="72" fillId="0" borderId="0" xfId="0" applyFont="1" applyBorder="1" applyAlignment="1" applyProtection="1">
      <alignment horizontal="center" vertical="center" wrapText="1"/>
      <protection/>
    </xf>
    <xf numFmtId="0" fontId="72" fillId="0" borderId="0" xfId="0" applyFont="1" applyBorder="1" applyAlignment="1" applyProtection="1">
      <alignment horizontal="center" vertical="center"/>
      <protection/>
    </xf>
    <xf numFmtId="0" fontId="72" fillId="0" borderId="0" xfId="0" applyFont="1" applyBorder="1" applyAlignment="1" applyProtection="1">
      <alignment vertical="center"/>
      <protection/>
    </xf>
    <xf numFmtId="2" fontId="0" fillId="0" borderId="10" xfId="0" applyNumberFormat="1" applyFont="1" applyBorder="1" applyAlignment="1" applyProtection="1">
      <alignment horizontal="center" vertical="center" wrapText="1"/>
      <protection locked="0"/>
    </xf>
    <xf numFmtId="0" fontId="0" fillId="0" borderId="13" xfId="0" applyFont="1" applyFill="1" applyBorder="1" applyAlignment="1" applyProtection="1">
      <alignment horizontal="center" vertical="center"/>
      <protection locked="0"/>
    </xf>
    <xf numFmtId="0" fontId="0" fillId="0" borderId="22"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protection locked="0"/>
    </xf>
    <xf numFmtId="2" fontId="0" fillId="0" borderId="22"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vertical="center" wrapText="1"/>
      <protection/>
    </xf>
    <xf numFmtId="0" fontId="72" fillId="0" borderId="0"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protection locked="0"/>
    </xf>
    <xf numFmtId="0" fontId="72" fillId="0" borderId="0" xfId="0" applyFont="1" applyFill="1" applyBorder="1" applyAlignment="1" applyProtection="1">
      <alignment vertical="center"/>
      <protection/>
    </xf>
    <xf numFmtId="2" fontId="72" fillId="39" borderId="36" xfId="0" applyNumberFormat="1" applyFont="1" applyFill="1" applyBorder="1" applyAlignment="1" applyProtection="1">
      <alignment horizontal="center" vertical="center" wrapText="1"/>
      <protection/>
    </xf>
    <xf numFmtId="2" fontId="72" fillId="33" borderId="24"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2" fontId="72" fillId="36" borderId="14" xfId="0" applyNumberFormat="1" applyFont="1" applyFill="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72" fillId="0" borderId="2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center" vertical="center" wrapText="1"/>
      <protection locked="0"/>
    </xf>
    <xf numFmtId="0" fontId="72" fillId="36"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39" borderId="24" xfId="0" applyFont="1" applyFill="1" applyBorder="1" applyAlignment="1" applyProtection="1">
      <alignment horizontal="center" vertical="center" wrapText="1"/>
      <protection locked="0"/>
    </xf>
    <xf numFmtId="0" fontId="0" fillId="37" borderId="36"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3" borderId="36" xfId="0" applyFont="1" applyFill="1" applyBorder="1" applyAlignment="1" applyProtection="1">
      <alignment horizontal="center" vertical="center" wrapText="1"/>
      <protection locked="0"/>
    </xf>
    <xf numFmtId="2" fontId="72" fillId="36" borderId="48" xfId="0" applyNumberFormat="1" applyFont="1" applyFill="1" applyBorder="1" applyAlignment="1" applyProtection="1">
      <alignment horizontal="center" vertical="center"/>
      <protection/>
    </xf>
    <xf numFmtId="2" fontId="0" fillId="34" borderId="24" xfId="0" applyNumberFormat="1"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72" fillId="35" borderId="17" xfId="0" applyFont="1" applyFill="1" applyBorder="1" applyAlignment="1" applyProtection="1">
      <alignment horizontal="center" vertical="center"/>
      <protection locked="0"/>
    </xf>
    <xf numFmtId="2" fontId="72" fillId="0" borderId="17" xfId="0" applyNumberFormat="1" applyFont="1" applyFill="1" applyBorder="1" applyAlignment="1" applyProtection="1">
      <alignment horizontal="center" vertical="center"/>
      <protection/>
    </xf>
    <xf numFmtId="2" fontId="72" fillId="33" borderId="49" xfId="0" applyNumberFormat="1" applyFont="1" applyFill="1" applyBorder="1" applyAlignment="1" applyProtection="1">
      <alignment horizontal="center" vertical="center"/>
      <protection locked="0"/>
    </xf>
    <xf numFmtId="0" fontId="72" fillId="33" borderId="36" xfId="0" applyFont="1" applyFill="1" applyBorder="1" applyAlignment="1" applyProtection="1">
      <alignment vertical="center" wrapText="1"/>
      <protection locked="0"/>
    </xf>
    <xf numFmtId="0" fontId="72" fillId="34" borderId="24" xfId="0" applyFont="1" applyFill="1" applyBorder="1" applyAlignment="1" applyProtection="1">
      <alignment vertical="center" wrapText="1"/>
      <protection locked="0"/>
    </xf>
    <xf numFmtId="2" fontId="0" fillId="0" borderId="24" xfId="0" applyNumberFormat="1" applyFont="1" applyFill="1" applyBorder="1" applyAlignment="1" applyProtection="1">
      <alignment horizontal="center" vertical="center"/>
      <protection locked="0"/>
    </xf>
    <xf numFmtId="2" fontId="0" fillId="33" borderId="24" xfId="0" applyNumberFormat="1" applyFont="1" applyFill="1" applyBorder="1" applyAlignment="1" applyProtection="1">
      <alignment horizontal="center" vertical="center"/>
      <protection locked="0"/>
    </xf>
    <xf numFmtId="2" fontId="0" fillId="33" borderId="47" xfId="0" applyNumberFormat="1" applyFont="1" applyFill="1" applyBorder="1" applyAlignment="1" applyProtection="1">
      <alignment horizontal="center" vertical="center"/>
      <protection locked="0"/>
    </xf>
    <xf numFmtId="2" fontId="72" fillId="0" borderId="24" xfId="0" applyNumberFormat="1" applyFont="1" applyFill="1" applyBorder="1" applyAlignment="1" applyProtection="1">
      <alignment horizontal="center" vertical="center"/>
      <protection locked="0"/>
    </xf>
    <xf numFmtId="2" fontId="72" fillId="33" borderId="24" xfId="0" applyNumberFormat="1" applyFont="1" applyFill="1" applyBorder="1" applyAlignment="1" applyProtection="1">
      <alignment horizontal="center" vertical="center"/>
      <protection locked="0"/>
    </xf>
    <xf numFmtId="0" fontId="0" fillId="33" borderId="50" xfId="0" applyFont="1" applyFill="1" applyBorder="1" applyAlignment="1" applyProtection="1">
      <alignment horizontal="center" vertical="center"/>
      <protection locked="0"/>
    </xf>
    <xf numFmtId="2" fontId="0" fillId="0" borderId="23"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7" xfId="0" applyFont="1" applyFill="1" applyBorder="1" applyAlignment="1" applyProtection="1">
      <alignment horizontal="center" vertical="center"/>
      <protection locked="0"/>
    </xf>
    <xf numFmtId="0" fontId="72" fillId="0" borderId="17" xfId="0" applyFont="1" applyFill="1" applyBorder="1" applyAlignment="1" applyProtection="1">
      <alignment horizontal="center" vertical="center"/>
      <protection/>
    </xf>
    <xf numFmtId="0" fontId="72" fillId="0" borderId="17" xfId="0" applyFont="1" applyBorder="1" applyAlignment="1" applyProtection="1">
      <alignment horizontal="center" vertical="center"/>
      <protection/>
    </xf>
    <xf numFmtId="0" fontId="5" fillId="35" borderId="10" xfId="0" applyFont="1" applyFill="1" applyBorder="1" applyAlignment="1" applyProtection="1">
      <alignment horizontal="left" vertical="center" wrapText="1"/>
      <protection/>
    </xf>
    <xf numFmtId="2" fontId="1" fillId="0" borderId="24" xfId="0" applyNumberFormat="1"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2" fontId="0" fillId="0" borderId="24" xfId="0" applyNumberFormat="1" applyFont="1" applyBorder="1" applyAlignment="1" applyProtection="1">
      <alignment horizontal="center" vertical="center"/>
      <protection/>
    </xf>
    <xf numFmtId="2" fontId="29" fillId="35" borderId="24" xfId="0" applyNumberFormat="1" applyFont="1" applyFill="1" applyBorder="1" applyAlignment="1" applyProtection="1">
      <alignment horizontal="center" wrapText="1"/>
      <protection/>
    </xf>
    <xf numFmtId="0" fontId="0" fillId="35" borderId="24" xfId="0" applyFont="1" applyFill="1" applyBorder="1" applyAlignment="1" applyProtection="1">
      <alignment horizontal="center"/>
      <protection/>
    </xf>
    <xf numFmtId="164" fontId="0" fillId="35" borderId="24" xfId="0" applyNumberFormat="1" applyFont="1" applyFill="1" applyBorder="1" applyAlignment="1" applyProtection="1">
      <alignment horizontal="center"/>
      <protection/>
    </xf>
    <xf numFmtId="164" fontId="33" fillId="35" borderId="24" xfId="0" applyNumberFormat="1" applyFont="1" applyFill="1" applyBorder="1" applyAlignment="1" applyProtection="1">
      <alignment horizontal="center" vertical="center"/>
      <protection/>
    </xf>
    <xf numFmtId="0" fontId="33" fillId="35" borderId="24" xfId="0" applyFont="1" applyFill="1" applyBorder="1" applyAlignment="1" applyProtection="1">
      <alignment horizontal="center" vertical="center" wrapText="1"/>
      <protection/>
    </xf>
    <xf numFmtId="2" fontId="33" fillId="35" borderId="24" xfId="0" applyNumberFormat="1" applyFont="1" applyFill="1" applyBorder="1" applyAlignment="1" applyProtection="1">
      <alignment horizontal="center" vertical="center"/>
      <protection/>
    </xf>
    <xf numFmtId="0" fontId="33" fillId="35" borderId="24" xfId="0" applyFont="1" applyFill="1" applyBorder="1" applyAlignment="1" applyProtection="1">
      <alignment horizontal="center" vertical="center"/>
      <protection/>
    </xf>
    <xf numFmtId="2" fontId="5" fillId="35" borderId="24" xfId="0" applyNumberFormat="1" applyFont="1" applyFill="1" applyBorder="1" applyAlignment="1" applyProtection="1">
      <alignment horizontal="center" vertical="center"/>
      <protection/>
    </xf>
    <xf numFmtId="2" fontId="5" fillId="35" borderId="47" xfId="0" applyNumberFormat="1" applyFont="1" applyFill="1" applyBorder="1" applyAlignment="1" applyProtection="1">
      <alignment horizontal="center" vertical="center"/>
      <protection/>
    </xf>
    <xf numFmtId="2" fontId="33" fillId="35" borderId="47" xfId="0" applyNumberFormat="1" applyFont="1" applyFill="1" applyBorder="1" applyAlignment="1" applyProtection="1">
      <alignment horizontal="center" vertical="center"/>
      <protection/>
    </xf>
    <xf numFmtId="0" fontId="5" fillId="0" borderId="24" xfId="0" applyFont="1" applyBorder="1" applyAlignment="1" applyProtection="1">
      <alignment horizontal="center" vertical="top" wrapText="1"/>
      <protection/>
    </xf>
    <xf numFmtId="0" fontId="5" fillId="0" borderId="50" xfId="0" applyFont="1" applyBorder="1" applyAlignment="1" applyProtection="1">
      <alignment horizontal="center" vertical="top" wrapText="1"/>
      <protection/>
    </xf>
    <xf numFmtId="0" fontId="0" fillId="0" borderId="50" xfId="0" applyFont="1" applyBorder="1" applyAlignment="1" applyProtection="1">
      <alignment horizontal="center" vertical="center" wrapText="1"/>
      <protection locked="0"/>
    </xf>
    <xf numFmtId="0" fontId="72" fillId="36" borderId="16" xfId="0" applyFont="1" applyFill="1" applyBorder="1" applyAlignment="1" applyProtection="1">
      <alignment vertical="center" wrapText="1"/>
      <protection/>
    </xf>
    <xf numFmtId="0" fontId="72" fillId="36" borderId="13" xfId="0" applyFont="1" applyFill="1" applyBorder="1" applyAlignment="1" applyProtection="1">
      <alignment horizontal="left" vertical="center" wrapText="1"/>
      <protection/>
    </xf>
    <xf numFmtId="0" fontId="72" fillId="0" borderId="10" xfId="0" applyFont="1" applyBorder="1" applyAlignment="1" applyProtection="1">
      <alignment horizontal="center" vertical="center"/>
      <protection/>
    </xf>
    <xf numFmtId="0" fontId="1" fillId="2" borderId="24" xfId="0" applyFont="1" applyFill="1" applyBorder="1" applyAlignment="1" applyProtection="1">
      <alignment horizontal="center" vertical="center"/>
      <protection/>
    </xf>
    <xf numFmtId="2" fontId="0" fillId="2" borderId="10" xfId="0" applyNumberFormat="1" applyFont="1" applyFill="1" applyBorder="1" applyAlignment="1">
      <alignment horizontal="center" vertical="center" wrapText="1"/>
    </xf>
    <xf numFmtId="2" fontId="29" fillId="2" borderId="24" xfId="0"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xf>
    <xf numFmtId="0" fontId="0" fillId="0" borderId="0" xfId="0" applyFont="1" applyFill="1" applyAlignment="1">
      <alignment/>
    </xf>
    <xf numFmtId="0" fontId="72" fillId="0" borderId="0" xfId="0" applyFont="1" applyFill="1" applyBorder="1" applyAlignment="1" applyProtection="1">
      <alignment horizontal="left" vertical="top" wrapText="1"/>
      <protection/>
    </xf>
    <xf numFmtId="0" fontId="77" fillId="39" borderId="10" xfId="0" applyFont="1" applyFill="1" applyBorder="1" applyAlignment="1" applyProtection="1">
      <alignment horizontal="left" vertical="center" wrapText="1"/>
      <protection/>
    </xf>
    <xf numFmtId="0" fontId="72" fillId="0" borderId="32" xfId="0" applyFont="1" applyBorder="1" applyAlignment="1" applyProtection="1">
      <alignment horizontal="center" vertical="center" wrapText="1"/>
      <protection locked="0"/>
    </xf>
    <xf numFmtId="0" fontId="72" fillId="0" borderId="32" xfId="0" applyFont="1" applyBorder="1" applyAlignment="1" applyProtection="1">
      <alignment horizontal="center" vertical="center"/>
      <protection locked="0"/>
    </xf>
    <xf numFmtId="0" fontId="72" fillId="0" borderId="32" xfId="0" applyFont="1" applyBorder="1" applyAlignment="1" applyProtection="1">
      <alignment vertical="center"/>
      <protection locked="0"/>
    </xf>
    <xf numFmtId="0" fontId="72" fillId="0" borderId="33" xfId="0" applyFont="1" applyBorder="1" applyAlignment="1" applyProtection="1">
      <alignment horizontal="center" vertical="center"/>
      <protection locked="0"/>
    </xf>
    <xf numFmtId="0" fontId="72" fillId="0" borderId="42" xfId="0" applyFont="1" applyFill="1" applyBorder="1" applyAlignment="1" applyProtection="1">
      <alignment horizontal="center" vertical="center"/>
      <protection/>
    </xf>
    <xf numFmtId="0" fontId="72" fillId="0" borderId="11" xfId="0" applyFont="1" applyFill="1" applyBorder="1" applyAlignment="1" applyProtection="1">
      <alignment vertical="center" wrapText="1"/>
      <protection/>
    </xf>
    <xf numFmtId="0" fontId="72" fillId="0" borderId="11" xfId="0" applyFont="1" applyFill="1" applyBorder="1" applyAlignment="1" applyProtection="1">
      <alignment horizontal="center" vertical="center" wrapText="1"/>
      <protection/>
    </xf>
    <xf numFmtId="0" fontId="72" fillId="0" borderId="11" xfId="0" applyFont="1" applyFill="1" applyBorder="1" applyAlignment="1" applyProtection="1">
      <alignment horizontal="center" vertical="center" wrapText="1"/>
      <protection locked="0"/>
    </xf>
    <xf numFmtId="0" fontId="72" fillId="0" borderId="11" xfId="0" applyFont="1" applyBorder="1" applyAlignment="1" applyProtection="1">
      <alignment horizontal="center" vertical="center" wrapText="1"/>
      <protection locked="0"/>
    </xf>
    <xf numFmtId="0" fontId="72" fillId="0" borderId="47" xfId="0" applyFont="1" applyBorder="1" applyAlignment="1" applyProtection="1">
      <alignment horizontal="center" vertical="center" wrapText="1"/>
      <protection locked="0"/>
    </xf>
    <xf numFmtId="0" fontId="72" fillId="0" borderId="0" xfId="0" applyFont="1" applyFill="1" applyAlignment="1">
      <alignment/>
    </xf>
    <xf numFmtId="0" fontId="0" fillId="0" borderId="12" xfId="0" applyFont="1" applyBorder="1" applyAlignment="1">
      <alignment horizontal="center" vertical="center"/>
    </xf>
    <xf numFmtId="2" fontId="33" fillId="38" borderId="11" xfId="0" applyNumberFormat="1" applyFont="1" applyFill="1" applyBorder="1" applyAlignment="1" applyProtection="1">
      <alignment horizontal="center" vertical="center" wrapText="1"/>
      <protection/>
    </xf>
    <xf numFmtId="2" fontId="33" fillId="38" borderId="28" xfId="0" applyNumberFormat="1" applyFont="1" applyFill="1" applyBorder="1" applyAlignment="1" applyProtection="1">
      <alignment horizontal="center" vertical="center" wrapText="1"/>
      <protection/>
    </xf>
    <xf numFmtId="0" fontId="33" fillId="38" borderId="10" xfId="0" applyFont="1" applyFill="1" applyBorder="1" applyAlignment="1" applyProtection="1">
      <alignment horizontal="center" vertical="center" wrapText="1"/>
      <protection/>
    </xf>
    <xf numFmtId="0" fontId="72" fillId="0" borderId="10" xfId="0" applyFont="1" applyFill="1" applyBorder="1" applyAlignment="1" applyProtection="1">
      <alignment horizontal="left" vertical="center"/>
      <protection/>
    </xf>
    <xf numFmtId="0" fontId="0" fillId="0" borderId="21" xfId="0" applyFont="1" applyFill="1" applyBorder="1" applyAlignment="1" applyProtection="1">
      <alignment horizontal="center" vertical="center"/>
      <protection/>
    </xf>
    <xf numFmtId="0" fontId="0" fillId="0" borderId="41" xfId="0" applyFont="1" applyFill="1" applyBorder="1" applyAlignment="1" applyProtection="1">
      <alignment vertical="center" wrapText="1"/>
      <protection/>
    </xf>
    <xf numFmtId="0" fontId="0" fillId="0" borderId="41" xfId="0" applyFont="1" applyFill="1" applyBorder="1" applyAlignment="1" applyProtection="1">
      <alignment horizontal="center" vertical="center" wrapText="1"/>
      <protection/>
    </xf>
    <xf numFmtId="2" fontId="0" fillId="0" borderId="41" xfId="0" applyNumberFormat="1" applyFont="1" applyFill="1" applyBorder="1" applyAlignment="1" applyProtection="1">
      <alignment horizontal="center" vertical="center"/>
      <protection/>
    </xf>
    <xf numFmtId="0" fontId="72" fillId="0" borderId="0" xfId="0" applyFont="1" applyAlignment="1">
      <alignment/>
    </xf>
    <xf numFmtId="0" fontId="72" fillId="0" borderId="11" xfId="0" applyFont="1" applyBorder="1" applyAlignment="1" applyProtection="1">
      <alignment horizontal="center" vertical="center" wrapText="1"/>
      <protection/>
    </xf>
    <xf numFmtId="0" fontId="0" fillId="0" borderId="0" xfId="0" applyFont="1" applyAlignment="1">
      <alignment horizontal="center" vertical="center" wrapText="1"/>
    </xf>
    <xf numFmtId="2" fontId="0" fillId="40" borderId="10" xfId="0" applyNumberFormat="1" applyFont="1" applyFill="1" applyBorder="1" applyAlignment="1" applyProtection="1">
      <alignment horizontal="left" vertical="center" wrapText="1"/>
      <protection/>
    </xf>
    <xf numFmtId="0" fontId="72" fillId="36" borderId="51" xfId="0" applyFont="1" applyFill="1" applyBorder="1" applyAlignment="1" applyProtection="1">
      <alignment horizontal="center" vertical="center"/>
      <protection/>
    </xf>
    <xf numFmtId="0" fontId="72" fillId="36" borderId="51" xfId="0" applyFont="1" applyFill="1" applyBorder="1" applyAlignment="1" applyProtection="1">
      <alignment horizontal="left" vertical="center"/>
      <protection/>
    </xf>
    <xf numFmtId="0" fontId="72" fillId="36" borderId="51" xfId="0" applyFont="1" applyFill="1" applyBorder="1" applyAlignment="1" applyProtection="1">
      <alignment horizontal="center" vertical="center" wrapText="1"/>
      <protection/>
    </xf>
    <xf numFmtId="2" fontId="72" fillId="36" borderId="51" xfId="0" applyNumberFormat="1" applyFont="1" applyFill="1" applyBorder="1" applyAlignment="1" applyProtection="1">
      <alignment horizontal="center" vertical="center"/>
      <protection/>
    </xf>
    <xf numFmtId="0" fontId="72" fillId="36" borderId="45" xfId="0" applyFont="1" applyFill="1" applyBorder="1" applyAlignment="1" applyProtection="1">
      <alignment horizontal="center" vertical="center"/>
      <protection/>
    </xf>
    <xf numFmtId="0" fontId="72" fillId="34" borderId="10" xfId="0" applyFont="1" applyFill="1" applyBorder="1" applyAlignment="1">
      <alignment horizontal="left" vertical="center"/>
    </xf>
    <xf numFmtId="0" fontId="0" fillId="0" borderId="10" xfId="0" applyFont="1" applyBorder="1" applyAlignment="1">
      <alignment horizontal="left" vertical="center"/>
    </xf>
    <xf numFmtId="1" fontId="0" fillId="34" borderId="10" xfId="0" applyNumberFormat="1" applyFont="1" applyFill="1" applyBorder="1" applyAlignment="1">
      <alignment horizontal="center" vertical="center"/>
    </xf>
    <xf numFmtId="0" fontId="29" fillId="34" borderId="10" xfId="0" applyFont="1" applyFill="1" applyBorder="1" applyAlignment="1" applyProtection="1">
      <alignment horizontal="left" vertical="center" wrapText="1"/>
      <protection/>
    </xf>
    <xf numFmtId="2" fontId="0" fillId="34" borderId="10" xfId="0" applyNumberFormat="1" applyFont="1" applyFill="1" applyBorder="1" applyAlignment="1">
      <alignment horizontal="left" vertical="center"/>
    </xf>
    <xf numFmtId="2" fontId="0" fillId="34" borderId="10" xfId="0" applyNumberFormat="1" applyFont="1" applyFill="1" applyBorder="1" applyAlignment="1">
      <alignment horizontal="center" vertical="center"/>
    </xf>
    <xf numFmtId="0" fontId="73" fillId="34" borderId="10" xfId="0" applyFont="1" applyFill="1" applyBorder="1" applyAlignment="1">
      <alignment horizontal="left" vertical="center"/>
    </xf>
    <xf numFmtId="0" fontId="73" fillId="34" borderId="10" xfId="0" applyFont="1" applyFill="1" applyBorder="1" applyAlignment="1">
      <alignment vertical="center" wrapText="1"/>
    </xf>
    <xf numFmtId="2" fontId="73" fillId="34" borderId="10" xfId="0" applyNumberFormat="1" applyFont="1" applyFill="1" applyBorder="1" applyAlignment="1">
      <alignment horizontal="center" vertical="center"/>
    </xf>
    <xf numFmtId="0" fontId="81" fillId="34" borderId="10" xfId="0" applyFont="1" applyFill="1" applyBorder="1" applyAlignment="1">
      <alignment vertical="center" wrapText="1"/>
    </xf>
    <xf numFmtId="0" fontId="0" fillId="34" borderId="0" xfId="0" applyFont="1" applyFill="1" applyAlignment="1">
      <alignment vertical="center"/>
    </xf>
    <xf numFmtId="0" fontId="0" fillId="34" borderId="10" xfId="0" applyFont="1" applyFill="1" applyBorder="1" applyAlignment="1">
      <alignment horizontal="left" vertical="center" wrapText="1"/>
    </xf>
    <xf numFmtId="2" fontId="0" fillId="34" borderId="10" xfId="59" applyNumberFormat="1" applyFont="1" applyFill="1" applyBorder="1" applyAlignment="1">
      <alignment horizontal="center" vertical="center"/>
    </xf>
    <xf numFmtId="0" fontId="72" fillId="0" borderId="10" xfId="0" applyFont="1" applyFill="1" applyBorder="1" applyAlignment="1">
      <alignment horizontal="left" vertical="center"/>
    </xf>
    <xf numFmtId="0" fontId="72" fillId="0" borderId="10" xfId="0" applyFont="1" applyFill="1" applyBorder="1" applyAlignment="1">
      <alignment horizontal="left" vertical="center" wrapText="1"/>
    </xf>
    <xf numFmtId="0" fontId="72" fillId="33" borderId="10" xfId="0" applyFont="1" applyFill="1" applyBorder="1" applyAlignment="1">
      <alignment horizontal="left" vertical="center"/>
    </xf>
    <xf numFmtId="0" fontId="72" fillId="33" borderId="10" xfId="0" applyFont="1" applyFill="1" applyBorder="1" applyAlignment="1">
      <alignment horizontal="left" vertical="center" wrapText="1"/>
    </xf>
    <xf numFmtId="2" fontId="72" fillId="33" borderId="10" xfId="0" applyNumberFormat="1" applyFont="1" applyFill="1" applyBorder="1" applyAlignment="1">
      <alignment horizontal="center" vertical="center"/>
    </xf>
    <xf numFmtId="0" fontId="84" fillId="0" borderId="10" xfId="0" applyFont="1" applyBorder="1" applyAlignment="1">
      <alignment horizontal="center" vertical="center" wrapText="1"/>
    </xf>
    <xf numFmtId="0" fontId="84" fillId="0" borderId="10" xfId="0" applyFont="1" applyBorder="1" applyAlignment="1">
      <alignment vertical="center" wrapText="1"/>
    </xf>
    <xf numFmtId="0" fontId="84" fillId="0" borderId="10" xfId="0" applyFont="1" applyBorder="1" applyAlignment="1">
      <alignment horizontal="justify" vertical="center" wrapText="1"/>
    </xf>
    <xf numFmtId="0" fontId="85" fillId="0" borderId="10" xfId="0" applyFont="1" applyBorder="1" applyAlignment="1">
      <alignment horizontal="center" vertical="center" wrapText="1"/>
    </xf>
    <xf numFmtId="0" fontId="84" fillId="0" borderId="10" xfId="0" applyFont="1" applyBorder="1" applyAlignment="1">
      <alignment horizontal="center" vertical="center"/>
    </xf>
    <xf numFmtId="0" fontId="85" fillId="0" borderId="10" xfId="0" applyFont="1" applyBorder="1" applyAlignment="1">
      <alignment vertical="center" wrapText="1"/>
    </xf>
    <xf numFmtId="0" fontId="86" fillId="0" borderId="10" xfId="0" applyFont="1" applyBorder="1" applyAlignment="1">
      <alignment vertical="center" wrapText="1"/>
    </xf>
    <xf numFmtId="0" fontId="85" fillId="27" borderId="10" xfId="0" applyFont="1" applyFill="1" applyBorder="1" applyAlignment="1">
      <alignment horizontal="center" vertical="center" wrapText="1"/>
    </xf>
    <xf numFmtId="0" fontId="85" fillId="27" borderId="10" xfId="0" applyFont="1" applyFill="1" applyBorder="1" applyAlignment="1">
      <alignment vertical="center" wrapText="1"/>
    </xf>
    <xf numFmtId="0" fontId="72" fillId="34" borderId="27" xfId="0" applyFont="1" applyFill="1" applyBorder="1" applyAlignment="1">
      <alignment horizontal="center" vertical="center" wrapText="1"/>
    </xf>
    <xf numFmtId="0" fontId="85"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0" xfId="0" applyFont="1" applyBorder="1" applyAlignment="1">
      <alignment vertical="center" wrapText="1"/>
    </xf>
    <xf numFmtId="0" fontId="85" fillId="0" borderId="10" xfId="0" applyFont="1" applyBorder="1" applyAlignment="1">
      <alignment vertical="center" wrapText="1"/>
    </xf>
    <xf numFmtId="2" fontId="84" fillId="0" borderId="10" xfId="0" applyNumberFormat="1" applyFont="1" applyBorder="1" applyAlignment="1">
      <alignment horizontal="center" vertical="center" wrapText="1"/>
    </xf>
    <xf numFmtId="0" fontId="72" fillId="0" borderId="10" xfId="0" applyFont="1" applyBorder="1" applyAlignment="1" applyProtection="1">
      <alignment horizontal="center" vertical="center" wrapText="1"/>
      <protection/>
    </xf>
    <xf numFmtId="0" fontId="72" fillId="0" borderId="10" xfId="0" applyFont="1" applyBorder="1" applyAlignment="1" applyProtection="1">
      <alignment horizontal="center"/>
      <protection/>
    </xf>
    <xf numFmtId="0" fontId="0" fillId="0" borderId="10" xfId="0" applyFont="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2" fontId="0" fillId="0" borderId="0" xfId="0" applyNumberFormat="1" applyFont="1" applyFill="1" applyBorder="1" applyAlignment="1" applyProtection="1">
      <alignment horizontal="center" vertical="center"/>
      <protection/>
    </xf>
    <xf numFmtId="0" fontId="72" fillId="36" borderId="16" xfId="0" applyFont="1" applyFill="1" applyBorder="1" applyAlignment="1" applyProtection="1">
      <alignment horizontal="left" vertical="center" wrapText="1"/>
      <protection/>
    </xf>
    <xf numFmtId="165" fontId="0" fillId="0" borderId="10" xfId="0" applyNumberFormat="1" applyFont="1" applyBorder="1" applyAlignment="1">
      <alignment horizontal="center" vertical="center"/>
    </xf>
    <xf numFmtId="0" fontId="0" fillId="0" borderId="10" xfId="0" applyFont="1" applyBorder="1" applyAlignment="1" quotePrefix="1">
      <alignment horizontal="left" vertical="center"/>
    </xf>
    <xf numFmtId="1" fontId="0" fillId="34" borderId="39" xfId="0" applyNumberFormat="1" applyFont="1" applyFill="1" applyBorder="1" applyAlignment="1">
      <alignment horizontal="center" vertical="center"/>
    </xf>
    <xf numFmtId="2" fontId="0" fillId="34" borderId="10" xfId="0" applyNumberFormat="1" applyFont="1" applyFill="1" applyBorder="1" applyAlignment="1">
      <alignment horizontal="left" vertical="center" wrapText="1"/>
    </xf>
    <xf numFmtId="166" fontId="0" fillId="34" borderId="10" xfId="0" applyNumberFormat="1" applyFont="1" applyFill="1" applyBorder="1" applyAlignment="1">
      <alignment horizontal="center" vertical="center"/>
    </xf>
    <xf numFmtId="2" fontId="0" fillId="34" borderId="11" xfId="0" applyNumberFormat="1" applyFont="1" applyFill="1" applyBorder="1" applyAlignment="1">
      <alignment horizontal="left" vertical="center"/>
    </xf>
    <xf numFmtId="2" fontId="72" fillId="34" borderId="10" xfId="0" applyNumberFormat="1" applyFont="1" applyFill="1" applyBorder="1" applyAlignment="1">
      <alignment horizontal="left" vertical="center"/>
    </xf>
    <xf numFmtId="2" fontId="72" fillId="34" borderId="10" xfId="0" applyNumberFormat="1" applyFont="1" applyFill="1" applyBorder="1" applyAlignment="1">
      <alignment horizontal="center" vertical="center"/>
    </xf>
    <xf numFmtId="0" fontId="0" fillId="0" borderId="19" xfId="0" applyFont="1" applyBorder="1" applyAlignment="1" applyProtection="1">
      <alignment horizontal="left" vertical="center" wrapText="1"/>
      <protection/>
    </xf>
    <xf numFmtId="2" fontId="0" fillId="35" borderId="10" xfId="0" applyNumberFormat="1" applyFont="1" applyFill="1" applyBorder="1" applyAlignment="1" applyProtection="1">
      <alignment horizontal="center" vertical="center"/>
      <protection/>
    </xf>
    <xf numFmtId="2" fontId="0" fillId="35" borderId="24" xfId="0" applyNumberFormat="1" applyFont="1" applyFill="1" applyBorder="1" applyAlignment="1" applyProtection="1">
      <alignment horizontal="center" vertical="center"/>
      <protection/>
    </xf>
    <xf numFmtId="0" fontId="33" fillId="34" borderId="26" xfId="0" applyFont="1" applyFill="1" applyBorder="1" applyAlignment="1" applyProtection="1">
      <alignment horizontal="center" vertical="center" wrapText="1"/>
      <protection/>
    </xf>
    <xf numFmtId="0" fontId="33" fillId="34" borderId="20" xfId="0" applyFont="1" applyFill="1" applyBorder="1" applyAlignment="1" applyProtection="1">
      <alignment vertical="center" wrapText="1"/>
      <protection/>
    </xf>
    <xf numFmtId="0" fontId="33" fillId="34" borderId="15" xfId="0" applyFont="1" applyFill="1" applyBorder="1" applyAlignment="1" applyProtection="1">
      <alignment horizontal="left" vertical="center" wrapText="1"/>
      <protection/>
    </xf>
    <xf numFmtId="0" fontId="33" fillId="34" borderId="15" xfId="0" applyFont="1" applyFill="1" applyBorder="1" applyAlignment="1" applyProtection="1">
      <alignment horizontal="center" vertical="center" wrapText="1"/>
      <protection/>
    </xf>
    <xf numFmtId="2" fontId="33" fillId="34" borderId="15" xfId="0" applyNumberFormat="1" applyFont="1" applyFill="1" applyBorder="1" applyAlignment="1" applyProtection="1">
      <alignment horizontal="center" vertical="center" wrapText="1"/>
      <protection/>
    </xf>
    <xf numFmtId="0" fontId="0" fillId="34" borderId="10" xfId="0" applyFont="1" applyFill="1" applyBorder="1" applyAlignment="1" applyProtection="1">
      <alignment vertical="center"/>
      <protection/>
    </xf>
    <xf numFmtId="0" fontId="33" fillId="35" borderId="52" xfId="0" applyFont="1" applyFill="1" applyBorder="1" applyAlignment="1" applyProtection="1">
      <alignment horizontal="center" vertical="center" wrapText="1"/>
      <protection/>
    </xf>
    <xf numFmtId="0" fontId="33" fillId="35" borderId="52" xfId="0" applyFont="1" applyFill="1" applyBorder="1" applyAlignment="1" applyProtection="1">
      <alignment horizontal="left" vertical="center" wrapText="1"/>
      <protection/>
    </xf>
    <xf numFmtId="0" fontId="33" fillId="35" borderId="0" xfId="0" applyFont="1" applyFill="1" applyBorder="1" applyAlignment="1" applyProtection="1">
      <alignment vertical="center" wrapText="1"/>
      <protection/>
    </xf>
    <xf numFmtId="0" fontId="84" fillId="0" borderId="10" xfId="0" applyFont="1" applyBorder="1" applyAlignment="1">
      <alignment horizontal="center" vertical="center"/>
    </xf>
    <xf numFmtId="0" fontId="84" fillId="0" borderId="10" xfId="0" applyFont="1" applyBorder="1" applyAlignment="1">
      <alignment horizontal="center" vertical="center" wrapText="1"/>
    </xf>
    <xf numFmtId="0" fontId="85" fillId="0" borderId="10" xfId="0" applyFont="1" applyBorder="1" applyAlignment="1">
      <alignment vertical="center" wrapText="1"/>
    </xf>
    <xf numFmtId="0" fontId="84" fillId="34" borderId="10" xfId="0" applyFont="1" applyFill="1" applyBorder="1" applyAlignment="1">
      <alignment horizontal="center" vertical="center"/>
    </xf>
    <xf numFmtId="166" fontId="33" fillId="3" borderId="24" xfId="0" applyNumberFormat="1" applyFont="1" applyFill="1" applyBorder="1" applyAlignment="1" applyProtection="1">
      <alignment horizontal="center" vertical="center" wrapText="1"/>
      <protection/>
    </xf>
    <xf numFmtId="2" fontId="29" fillId="0" borderId="11" xfId="0" applyNumberFormat="1" applyFont="1" applyFill="1" applyBorder="1" applyAlignment="1" applyProtection="1">
      <alignment horizontal="center" vertical="center" wrapText="1"/>
      <protection/>
    </xf>
    <xf numFmtId="0" fontId="82" fillId="34" borderId="10"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84" fillId="0" borderId="10"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164" fontId="72" fillId="36" borderId="18" xfId="0" applyNumberFormat="1" applyFont="1" applyFill="1" applyBorder="1" applyAlignment="1" applyProtection="1">
      <alignment horizontal="center" vertical="center" wrapText="1"/>
      <protection/>
    </xf>
    <xf numFmtId="0" fontId="72" fillId="39" borderId="10" xfId="0" applyFont="1" applyFill="1" applyBorder="1" applyAlignment="1" applyProtection="1">
      <alignment horizontal="center" vertical="center"/>
      <protection/>
    </xf>
    <xf numFmtId="0" fontId="87" fillId="39" borderId="10" xfId="0" applyFont="1" applyFill="1" applyBorder="1" applyAlignment="1" applyProtection="1">
      <alignment horizontal="center" vertical="center" wrapText="1"/>
      <protection/>
    </xf>
    <xf numFmtId="0" fontId="85" fillId="34" borderId="10" xfId="0" applyFont="1" applyFill="1" applyBorder="1" applyAlignment="1">
      <alignment horizontal="center" vertical="center"/>
    </xf>
    <xf numFmtId="0" fontId="85" fillId="34" borderId="10" xfId="0" applyFont="1" applyFill="1" applyBorder="1" applyAlignment="1">
      <alignment vertical="center" wrapText="1"/>
    </xf>
    <xf numFmtId="0" fontId="88" fillId="27"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89" fillId="34" borderId="10" xfId="0" applyFont="1" applyFill="1" applyBorder="1" applyAlignment="1" quotePrefix="1">
      <alignment horizontal="center" vertical="center" wrapText="1"/>
    </xf>
    <xf numFmtId="0" fontId="76" fillId="36" borderId="13"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33" fillId="0" borderId="21" xfId="0" applyFont="1" applyFill="1" applyBorder="1" applyAlignment="1" applyProtection="1">
      <alignment vertical="center"/>
      <protection/>
    </xf>
    <xf numFmtId="0" fontId="33" fillId="0" borderId="21" xfId="0" applyFont="1" applyBorder="1" applyAlignment="1" applyProtection="1">
      <alignment horizontal="left" vertical="center"/>
      <protection/>
    </xf>
    <xf numFmtId="0" fontId="5" fillId="34" borderId="19"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wrapText="1"/>
      <protection/>
    </xf>
    <xf numFmtId="0" fontId="33" fillId="35" borderId="12" xfId="0" applyFont="1" applyFill="1" applyBorder="1" applyAlignment="1" applyProtection="1">
      <alignment horizontal="center" vertical="center" wrapText="1"/>
      <protection/>
    </xf>
    <xf numFmtId="0" fontId="90" fillId="0" borderId="0" xfId="0" applyFont="1" applyAlignment="1" applyProtection="1">
      <alignment horizontal="left" vertical="center"/>
      <protection/>
    </xf>
    <xf numFmtId="0" fontId="89" fillId="0" borderId="0" xfId="0" applyFont="1" applyAlignment="1" applyProtection="1">
      <alignment horizontal="left" vertical="center" wrapText="1"/>
      <protection/>
    </xf>
    <xf numFmtId="0" fontId="91" fillId="0" borderId="0" xfId="0" applyFont="1" applyAlignment="1" applyProtection="1">
      <alignment horizontal="center"/>
      <protection/>
    </xf>
    <xf numFmtId="0" fontId="91" fillId="0" borderId="0" xfId="0" applyFont="1" applyAlignment="1" applyProtection="1">
      <alignment/>
      <protection/>
    </xf>
    <xf numFmtId="0" fontId="91" fillId="0" borderId="0" xfId="0" applyFont="1" applyAlignment="1" applyProtection="1">
      <alignment horizontal="center" vertical="center"/>
      <protection/>
    </xf>
    <xf numFmtId="0" fontId="90" fillId="0" borderId="0" xfId="0" applyFont="1" applyAlignment="1" applyProtection="1">
      <alignment vertical="center"/>
      <protection/>
    </xf>
    <xf numFmtId="0" fontId="91" fillId="0" borderId="0" xfId="0" applyFont="1" applyAlignment="1" applyProtection="1">
      <alignment wrapText="1"/>
      <protection/>
    </xf>
    <xf numFmtId="0" fontId="91" fillId="0" borderId="0" xfId="0" applyFont="1" applyAlignment="1" applyProtection="1">
      <alignment/>
      <protection/>
    </xf>
    <xf numFmtId="0" fontId="90" fillId="0" borderId="0" xfId="0" applyFont="1" applyAlignment="1" applyProtection="1">
      <alignment horizontal="left" vertical="center" wrapText="1"/>
      <protection/>
    </xf>
    <xf numFmtId="0" fontId="92" fillId="0" borderId="0" xfId="0" applyFont="1" applyAlignment="1" applyProtection="1">
      <alignment horizontal="center" vertical="center" wrapText="1"/>
      <protection/>
    </xf>
    <xf numFmtId="0" fontId="91" fillId="0" borderId="0" xfId="0" applyFont="1" applyAlignment="1" applyProtection="1">
      <alignment horizontal="left" vertical="center" wrapText="1"/>
      <protection/>
    </xf>
    <xf numFmtId="0" fontId="91" fillId="0" borderId="0" xfId="0" applyFont="1" applyAlignment="1" applyProtection="1">
      <alignment horizontal="center" vertical="center" wrapText="1"/>
      <protection/>
    </xf>
    <xf numFmtId="0" fontId="91" fillId="0" borderId="0" xfId="0" applyFont="1" applyBorder="1" applyAlignment="1" applyProtection="1">
      <alignment/>
      <protection/>
    </xf>
    <xf numFmtId="2" fontId="93" fillId="40" borderId="11" xfId="0" applyNumberFormat="1" applyFont="1" applyFill="1" applyBorder="1" applyAlignment="1" applyProtection="1">
      <alignment horizontal="center" vertical="center"/>
      <protection/>
    </xf>
    <xf numFmtId="0" fontId="94" fillId="35" borderId="21" xfId="0" applyFont="1" applyFill="1" applyBorder="1" applyAlignment="1" applyProtection="1">
      <alignment horizontal="center" vertical="center" wrapText="1"/>
      <protection/>
    </xf>
    <xf numFmtId="0" fontId="93" fillId="35" borderId="0" xfId="0" applyFont="1" applyFill="1" applyAlignment="1" applyProtection="1">
      <alignment vertical="center"/>
      <protection/>
    </xf>
    <xf numFmtId="0" fontId="94" fillId="0" borderId="20" xfId="0" applyFont="1" applyBorder="1" applyAlignment="1" applyProtection="1">
      <alignment horizontal="center" vertical="center" wrapText="1"/>
      <protection/>
    </xf>
    <xf numFmtId="0" fontId="93" fillId="0" borderId="0" xfId="0" applyFont="1" applyAlignment="1" applyProtection="1">
      <alignment vertical="center"/>
      <protection/>
    </xf>
    <xf numFmtId="0" fontId="93" fillId="2" borderId="10" xfId="0" applyFont="1" applyFill="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xf>
    <xf numFmtId="0" fontId="95" fillId="42" borderId="10" xfId="0" applyFont="1" applyFill="1" applyBorder="1" applyAlignment="1" applyProtection="1">
      <alignment horizontal="center" vertical="center"/>
      <protection/>
    </xf>
    <xf numFmtId="0" fontId="96" fillId="43" borderId="39" xfId="0" applyFont="1" applyFill="1" applyBorder="1" applyAlignment="1" applyProtection="1">
      <alignment horizontal="center" vertical="center" wrapText="1"/>
      <protection/>
    </xf>
    <xf numFmtId="0" fontId="96" fillId="43" borderId="38" xfId="0" applyFont="1" applyFill="1" applyBorder="1" applyAlignment="1" applyProtection="1">
      <alignment horizontal="center" vertical="center" wrapText="1"/>
      <protection/>
    </xf>
    <xf numFmtId="0" fontId="96" fillId="43" borderId="12" xfId="0" applyFont="1" applyFill="1" applyBorder="1" applyAlignment="1" applyProtection="1">
      <alignment horizontal="center" vertical="center" wrapText="1"/>
      <protection/>
    </xf>
    <xf numFmtId="0" fontId="97" fillId="43" borderId="39" xfId="0" applyFont="1" applyFill="1" applyBorder="1" applyAlignment="1">
      <alignment horizontal="center" vertical="center" wrapText="1"/>
    </xf>
    <xf numFmtId="0" fontId="97" fillId="43" borderId="38" xfId="0" applyFont="1" applyFill="1" applyBorder="1" applyAlignment="1">
      <alignment horizontal="center" vertical="center" wrapText="1"/>
    </xf>
    <xf numFmtId="0" fontId="97" fillId="43" borderId="12" xfId="0" applyFont="1" applyFill="1" applyBorder="1" applyAlignment="1">
      <alignment horizontal="center" vertical="center" wrapText="1"/>
    </xf>
    <xf numFmtId="0" fontId="89" fillId="27" borderId="11" xfId="0" applyFont="1" applyFill="1" applyBorder="1" applyAlignment="1">
      <alignment horizontal="center" vertical="center" wrapText="1"/>
    </xf>
    <xf numFmtId="0" fontId="89" fillId="27" borderId="15"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89" fillId="34" borderId="11" xfId="0" applyFont="1" applyFill="1" applyBorder="1" applyAlignment="1">
      <alignment horizontal="left" vertical="center" wrapText="1"/>
    </xf>
    <xf numFmtId="0" fontId="89" fillId="34" borderId="15" xfId="0" applyFont="1" applyFill="1" applyBorder="1" applyAlignment="1">
      <alignment horizontal="left" vertical="center" wrapText="1"/>
    </xf>
    <xf numFmtId="0" fontId="84" fillId="0" borderId="10" xfId="0" applyFont="1" applyBorder="1" applyAlignment="1">
      <alignment vertical="center" wrapText="1"/>
    </xf>
    <xf numFmtId="0" fontId="84" fillId="0" borderId="11" xfId="0" applyFont="1" applyBorder="1" applyAlignment="1">
      <alignment horizontal="center" vertical="center" wrapText="1"/>
    </xf>
    <xf numFmtId="0" fontId="84" fillId="0" borderId="15" xfId="0" applyFont="1" applyBorder="1" applyAlignment="1">
      <alignment horizontal="center" vertical="center" wrapText="1"/>
    </xf>
    <xf numFmtId="0" fontId="84" fillId="34" borderId="10" xfId="0" applyFont="1" applyFill="1" applyBorder="1" applyAlignment="1">
      <alignment vertical="center" wrapText="1"/>
    </xf>
    <xf numFmtId="0" fontId="84" fillId="0" borderId="10" xfId="0" applyFont="1" applyBorder="1" applyAlignment="1">
      <alignment horizontal="center" vertical="center"/>
    </xf>
    <xf numFmtId="0" fontId="84" fillId="0" borderId="10" xfId="0" applyFont="1" applyBorder="1" applyAlignment="1">
      <alignment horizontal="center" vertical="center" wrapText="1"/>
    </xf>
    <xf numFmtId="0" fontId="88" fillId="34" borderId="10" xfId="0" applyFont="1" applyFill="1" applyBorder="1" applyAlignment="1">
      <alignment horizontal="justify" vertical="center" wrapText="1"/>
    </xf>
    <xf numFmtId="0" fontId="84" fillId="0" borderId="39"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38" xfId="0" applyFont="1" applyBorder="1" applyAlignment="1">
      <alignment horizontal="center" vertical="center" wrapText="1"/>
    </xf>
    <xf numFmtId="0" fontId="85" fillId="0" borderId="10" xfId="0" applyFont="1" applyBorder="1" applyAlignment="1">
      <alignment horizontal="center" vertical="center" wrapText="1"/>
    </xf>
    <xf numFmtId="0" fontId="85" fillId="27" borderId="10" xfId="0" applyFont="1" applyFill="1" applyBorder="1" applyAlignment="1">
      <alignment horizontal="center" vertical="center"/>
    </xf>
    <xf numFmtId="0" fontId="85" fillId="27" borderId="10" xfId="0" applyFont="1" applyFill="1" applyBorder="1" applyAlignment="1">
      <alignment vertical="center" wrapText="1"/>
    </xf>
    <xf numFmtId="0" fontId="89" fillId="34" borderId="39" xfId="0" applyFont="1" applyFill="1" applyBorder="1" applyAlignment="1">
      <alignment horizontal="left" vertical="center" wrapText="1"/>
    </xf>
    <xf numFmtId="0" fontId="89" fillId="34" borderId="38" xfId="0" applyFont="1" applyFill="1" applyBorder="1" applyAlignment="1">
      <alignment horizontal="left" vertical="center" wrapText="1"/>
    </xf>
    <xf numFmtId="0" fontId="89" fillId="34" borderId="12" xfId="0" applyFont="1" applyFill="1" applyBorder="1" applyAlignment="1">
      <alignment horizontal="left" vertical="center" wrapText="1"/>
    </xf>
    <xf numFmtId="0" fontId="85" fillId="34" borderId="39" xfId="0" applyFont="1" applyFill="1" applyBorder="1" applyAlignment="1">
      <alignment horizontal="center" vertical="center" wrapText="1"/>
    </xf>
    <xf numFmtId="0" fontId="85" fillId="34" borderId="12" xfId="0" applyFont="1" applyFill="1" applyBorder="1" applyAlignment="1">
      <alignment horizontal="center" vertical="center" wrapText="1"/>
    </xf>
    <xf numFmtId="0" fontId="89" fillId="0" borderId="0" xfId="0" applyFont="1" applyAlignment="1" applyProtection="1">
      <alignment horizontal="left" vertical="center" wrapText="1"/>
      <protection/>
    </xf>
    <xf numFmtId="0" fontId="0" fillId="0" borderId="39"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0" fontId="72" fillId="34" borderId="42" xfId="0" applyFont="1" applyFill="1" applyBorder="1" applyAlignment="1">
      <alignment horizontal="center" vertical="center" wrapText="1"/>
    </xf>
    <xf numFmtId="0" fontId="72" fillId="34" borderId="27" xfId="0" applyFont="1" applyFill="1" applyBorder="1" applyAlignment="1">
      <alignment horizontal="center" vertical="center" wrapText="1"/>
    </xf>
    <xf numFmtId="0" fontId="98" fillId="34" borderId="19" xfId="0" applyFont="1" applyFill="1" applyBorder="1" applyAlignment="1">
      <alignment horizontal="center" vertical="center"/>
    </xf>
    <xf numFmtId="0" fontId="98" fillId="34" borderId="10" xfId="0" applyFont="1" applyFill="1" applyBorder="1" applyAlignment="1">
      <alignment horizontal="center" vertical="center"/>
    </xf>
    <xf numFmtId="0" fontId="0" fillId="0" borderId="10" xfId="0" applyFont="1" applyBorder="1" applyAlignment="1" applyProtection="1">
      <alignment horizontal="left"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72" fillId="34" borderId="10" xfId="0" applyFont="1" applyFill="1" applyBorder="1" applyAlignment="1">
      <alignment horizontal="left" vertical="center"/>
    </xf>
    <xf numFmtId="0" fontId="66" fillId="0" borderId="10" xfId="53"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34" borderId="19" xfId="0" applyFont="1" applyFill="1" applyBorder="1" applyAlignment="1">
      <alignment horizontal="center" vertical="center" wrapText="1"/>
    </xf>
    <xf numFmtId="0" fontId="0" fillId="0" borderId="39"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34" borderId="30" xfId="0" applyFont="1" applyFill="1" applyBorder="1" applyAlignment="1">
      <alignment horizontal="center" vertical="center" wrapText="1"/>
    </xf>
    <xf numFmtId="0" fontId="0" fillId="34" borderId="10" xfId="0" applyFont="1" applyFill="1" applyBorder="1" applyAlignment="1">
      <alignment horizontal="center" vertical="center"/>
    </xf>
    <xf numFmtId="0" fontId="66" fillId="0" borderId="31" xfId="53"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98" fillId="0" borderId="19" xfId="0" applyFont="1" applyBorder="1" applyAlignment="1" applyProtection="1">
      <alignment horizontal="center" vertical="center"/>
      <protection/>
    </xf>
    <xf numFmtId="0" fontId="98" fillId="0" borderId="10" xfId="0" applyFont="1" applyBorder="1" applyAlignment="1" applyProtection="1">
      <alignment horizontal="center" vertical="center"/>
      <protection/>
    </xf>
    <xf numFmtId="0" fontId="98" fillId="0" borderId="24" xfId="0" applyFont="1" applyBorder="1" applyAlignment="1" applyProtection="1">
      <alignment horizontal="center" vertical="center"/>
      <protection/>
    </xf>
    <xf numFmtId="0" fontId="95" fillId="42" borderId="53" xfId="0" applyFont="1" applyFill="1" applyBorder="1" applyAlignment="1" applyProtection="1">
      <alignment horizontal="center" vertical="center"/>
      <protection/>
    </xf>
    <xf numFmtId="0" fontId="95" fillId="42" borderId="54" xfId="0" applyFont="1" applyFill="1" applyBorder="1" applyAlignment="1" applyProtection="1">
      <alignment horizontal="center" vertical="center"/>
      <protection/>
    </xf>
    <xf numFmtId="0" fontId="95" fillId="42" borderId="55" xfId="0" applyFont="1" applyFill="1" applyBorder="1" applyAlignment="1" applyProtection="1">
      <alignment horizontal="center" vertical="center"/>
      <protection/>
    </xf>
    <xf numFmtId="0" fontId="72" fillId="0" borderId="19" xfId="0" applyFont="1" applyBorder="1" applyAlignment="1" applyProtection="1">
      <alignment horizontal="center" vertical="center"/>
      <protection/>
    </xf>
    <xf numFmtId="0" fontId="72" fillId="0" borderId="10" xfId="0" applyFont="1" applyBorder="1" applyAlignment="1" applyProtection="1">
      <alignment horizontal="center" vertical="center"/>
      <protection/>
    </xf>
    <xf numFmtId="0" fontId="72" fillId="0" borderId="24" xfId="0" applyFont="1" applyBorder="1" applyAlignment="1" applyProtection="1">
      <alignment horizontal="center" vertical="center"/>
      <protection/>
    </xf>
    <xf numFmtId="0" fontId="82" fillId="34" borderId="10" xfId="0" applyFont="1" applyFill="1" applyBorder="1" applyAlignment="1" applyProtection="1">
      <alignment horizontal="center" vertical="center" wrapText="1"/>
      <protection/>
    </xf>
    <xf numFmtId="0" fontId="72" fillId="0" borderId="21" xfId="0" applyFont="1" applyBorder="1" applyAlignment="1" applyProtection="1">
      <alignment horizontal="left" vertical="center"/>
      <protection locked="0"/>
    </xf>
    <xf numFmtId="0" fontId="72" fillId="0" borderId="0" xfId="0" applyFont="1" applyBorder="1" applyAlignment="1" applyProtection="1">
      <alignment horizontal="left" vertical="center"/>
      <protection locked="0"/>
    </xf>
    <xf numFmtId="0" fontId="72" fillId="0" borderId="37" xfId="0" applyFont="1" applyBorder="1" applyAlignment="1" applyProtection="1">
      <alignment horizontal="left" vertical="center"/>
      <protection locked="0"/>
    </xf>
    <xf numFmtId="0" fontId="72" fillId="0" borderId="32" xfId="0" applyFont="1" applyBorder="1" applyAlignment="1" applyProtection="1">
      <alignment horizontal="left" vertical="center"/>
      <protection locked="0"/>
    </xf>
    <xf numFmtId="0" fontId="82" fillId="34" borderId="15" xfId="0" applyFont="1" applyFill="1" applyBorder="1" applyAlignment="1" applyProtection="1">
      <alignment horizontal="center" vertical="center" wrapText="1"/>
      <protection/>
    </xf>
    <xf numFmtId="0" fontId="77" fillId="0" borderId="0" xfId="0" applyFont="1" applyBorder="1" applyAlignment="1" applyProtection="1">
      <alignment horizontal="right" vertical="center"/>
      <protection locked="0"/>
    </xf>
    <xf numFmtId="0" fontId="0" fillId="34" borderId="10" xfId="0" applyFont="1" applyFill="1" applyBorder="1" applyAlignment="1" applyProtection="1">
      <alignment horizontal="center" vertical="center" wrapText="1"/>
      <protection/>
    </xf>
    <xf numFmtId="0" fontId="72" fillId="0" borderId="21" xfId="0" applyFont="1" applyFill="1" applyBorder="1" applyAlignment="1" applyProtection="1">
      <alignment horizontal="right" vertical="center"/>
      <protection/>
    </xf>
    <xf numFmtId="0" fontId="72" fillId="0" borderId="0" xfId="0" applyFont="1" applyFill="1" applyBorder="1" applyAlignment="1" applyProtection="1">
      <alignment horizontal="right" vertical="center"/>
      <protection/>
    </xf>
    <xf numFmtId="0" fontId="72" fillId="0" borderId="17" xfId="0" applyFont="1" applyFill="1" applyBorder="1" applyAlignment="1" applyProtection="1">
      <alignment horizontal="right" vertical="center"/>
      <protection/>
    </xf>
    <xf numFmtId="0" fontId="72" fillId="0" borderId="0" xfId="0" applyFont="1" applyBorder="1" applyAlignment="1" applyProtection="1">
      <alignment horizontal="right" vertical="center"/>
      <protection/>
    </xf>
    <xf numFmtId="0" fontId="72" fillId="0" borderId="17" xfId="0" applyFont="1" applyBorder="1" applyAlignment="1" applyProtection="1">
      <alignment horizontal="right" vertical="center"/>
      <protection/>
    </xf>
    <xf numFmtId="0" fontId="0" fillId="0" borderId="19"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33" borderId="31" xfId="0" applyFont="1" applyFill="1" applyBorder="1" applyAlignment="1" applyProtection="1">
      <alignment horizontal="center" vertical="center"/>
      <protection locked="0"/>
    </xf>
    <xf numFmtId="0" fontId="72" fillId="0" borderId="21"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72" fillId="0" borderId="17" xfId="0" applyFont="1" applyFill="1" applyBorder="1" applyAlignment="1" applyProtection="1">
      <alignment horizontal="center" vertical="center" wrapText="1"/>
      <protection/>
    </xf>
    <xf numFmtId="0" fontId="31" fillId="0" borderId="0" xfId="0" applyFont="1" applyBorder="1" applyAlignment="1" applyProtection="1">
      <alignment horizontal="right"/>
      <protection/>
    </xf>
    <xf numFmtId="0" fontId="31" fillId="0" borderId="17" xfId="0" applyFont="1" applyBorder="1" applyAlignment="1" applyProtection="1">
      <alignment horizontal="right"/>
      <protection/>
    </xf>
    <xf numFmtId="0" fontId="5" fillId="35" borderId="10" xfId="0" applyFont="1" applyFill="1" applyBorder="1" applyAlignment="1" applyProtection="1">
      <alignment horizontal="left" vertical="center" wrapText="1"/>
      <protection/>
    </xf>
    <xf numFmtId="0" fontId="0" fillId="35" borderId="10" xfId="0" applyFont="1" applyFill="1" applyBorder="1" applyAlignment="1" applyProtection="1">
      <alignment/>
      <protection/>
    </xf>
    <xf numFmtId="0" fontId="0" fillId="35" borderId="24" xfId="0" applyFont="1" applyFill="1" applyBorder="1" applyAlignment="1" applyProtection="1">
      <alignment/>
      <protection/>
    </xf>
    <xf numFmtId="0" fontId="31" fillId="35" borderId="20" xfId="0" applyFont="1" applyFill="1" applyBorder="1" applyAlignment="1" applyProtection="1">
      <alignment horizontal="left" vertical="center" wrapText="1"/>
      <protection/>
    </xf>
    <xf numFmtId="0" fontId="31" fillId="35" borderId="38" xfId="0" applyFont="1" applyFill="1" applyBorder="1" applyAlignment="1" applyProtection="1">
      <alignment horizontal="left" vertical="center" wrapText="1"/>
      <protection/>
    </xf>
    <xf numFmtId="0" fontId="31" fillId="35" borderId="56" xfId="0" applyFont="1" applyFill="1" applyBorder="1" applyAlignment="1" applyProtection="1">
      <alignment horizontal="left" vertical="center" wrapText="1"/>
      <protection/>
    </xf>
    <xf numFmtId="0" fontId="5" fillId="34" borderId="20" xfId="0" applyFont="1" applyFill="1" applyBorder="1" applyAlignment="1" applyProtection="1">
      <alignment horizontal="left" vertical="center" wrapText="1"/>
      <protection/>
    </xf>
    <xf numFmtId="0" fontId="5" fillId="34" borderId="38" xfId="0" applyFont="1" applyFill="1" applyBorder="1" applyAlignment="1" applyProtection="1">
      <alignment horizontal="left" vertical="center" wrapText="1"/>
      <protection/>
    </xf>
    <xf numFmtId="0" fontId="5" fillId="34" borderId="56" xfId="0" applyFont="1" applyFill="1" applyBorder="1" applyAlignment="1" applyProtection="1">
      <alignment horizontal="left" vertical="center" wrapText="1"/>
      <protection/>
    </xf>
    <xf numFmtId="0" fontId="5" fillId="35" borderId="20" xfId="0" applyFont="1" applyFill="1" applyBorder="1" applyAlignment="1" applyProtection="1">
      <alignment horizontal="left" vertical="center" wrapText="1"/>
      <protection/>
    </xf>
    <xf numFmtId="0" fontId="5" fillId="35" borderId="38" xfId="0" applyFont="1" applyFill="1" applyBorder="1" applyAlignment="1" applyProtection="1">
      <alignment horizontal="left" vertical="center" wrapText="1"/>
      <protection/>
    </xf>
    <xf numFmtId="0" fontId="5" fillId="35" borderId="56" xfId="0" applyFont="1" applyFill="1" applyBorder="1" applyAlignment="1" applyProtection="1">
      <alignment horizontal="left" vertical="center" wrapText="1"/>
      <protection/>
    </xf>
    <xf numFmtId="0" fontId="99" fillId="42" borderId="51" xfId="0" applyFont="1" applyFill="1" applyBorder="1" applyAlignment="1" applyProtection="1">
      <alignment horizontal="center" vertical="center"/>
      <protection/>
    </xf>
    <xf numFmtId="0" fontId="100" fillId="42" borderId="34" xfId="0" applyFont="1" applyFill="1" applyBorder="1" applyAlignment="1" applyProtection="1">
      <alignment horizontal="center" vertical="center"/>
      <protection/>
    </xf>
    <xf numFmtId="0" fontId="100" fillId="42" borderId="35" xfId="0" applyFont="1" applyFill="1" applyBorder="1" applyAlignment="1" applyProtection="1">
      <alignment horizontal="center" vertical="center"/>
      <protection/>
    </xf>
    <xf numFmtId="0" fontId="98" fillId="35" borderId="20" xfId="0" applyFont="1" applyFill="1" applyBorder="1" applyAlignment="1" applyProtection="1">
      <alignment horizontal="center" vertical="center"/>
      <protection/>
    </xf>
    <xf numFmtId="0" fontId="98" fillId="35" borderId="38" xfId="0" applyFont="1" applyFill="1" applyBorder="1" applyAlignment="1" applyProtection="1">
      <alignment horizontal="center" vertical="center"/>
      <protection/>
    </xf>
    <xf numFmtId="0" fontId="98" fillId="35" borderId="56" xfId="0" applyFont="1" applyFill="1" applyBorder="1" applyAlignment="1" applyProtection="1">
      <alignment horizontal="center" vertical="center"/>
      <protection/>
    </xf>
    <xf numFmtId="0" fontId="72" fillId="0" borderId="10" xfId="0" applyFont="1" applyBorder="1" applyAlignment="1" applyProtection="1">
      <alignment horizontal="center" vertical="center" wrapText="1"/>
      <protection/>
    </xf>
    <xf numFmtId="0" fontId="72" fillId="0" borderId="24"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2" fillId="35" borderId="18" xfId="0" applyFont="1" applyFill="1" applyBorder="1" applyAlignment="1" applyProtection="1">
      <alignment horizontal="center" vertical="center" wrapText="1"/>
      <protection/>
    </xf>
    <xf numFmtId="0" fontId="52" fillId="35" borderId="57" xfId="0" applyFont="1" applyFill="1" applyBorder="1" applyAlignment="1" applyProtection="1">
      <alignment horizontal="center" vertical="center" wrapText="1"/>
      <protection/>
    </xf>
    <xf numFmtId="0" fontId="52" fillId="35" borderId="58" xfId="0" applyFont="1" applyFill="1" applyBorder="1" applyAlignment="1" applyProtection="1">
      <alignment horizontal="center" vertical="center" wrapText="1"/>
      <protection/>
    </xf>
    <xf numFmtId="0" fontId="33" fillId="35" borderId="51" xfId="0" applyFont="1" applyFill="1" applyBorder="1" applyAlignment="1" applyProtection="1">
      <alignment horizontal="center" vertical="center" wrapText="1"/>
      <protection/>
    </xf>
    <xf numFmtId="0" fontId="33" fillId="35" borderId="59" xfId="0" applyFont="1" applyFill="1" applyBorder="1" applyAlignment="1" applyProtection="1">
      <alignment horizontal="center" vertical="center" wrapText="1"/>
      <protection/>
    </xf>
    <xf numFmtId="0" fontId="101" fillId="42" borderId="18" xfId="0" applyFont="1" applyFill="1" applyBorder="1" applyAlignment="1" applyProtection="1">
      <alignment horizontal="center" vertical="center"/>
      <protection/>
    </xf>
    <xf numFmtId="0" fontId="101" fillId="42" borderId="57" xfId="0" applyFont="1" applyFill="1" applyBorder="1" applyAlignment="1" applyProtection="1">
      <alignment horizontal="center" vertical="center"/>
      <protection/>
    </xf>
    <xf numFmtId="0" fontId="101" fillId="42" borderId="58" xfId="0" applyFont="1" applyFill="1" applyBorder="1" applyAlignment="1" applyProtection="1">
      <alignment horizontal="center" vertical="center"/>
      <protection/>
    </xf>
    <xf numFmtId="0" fontId="33" fillId="35" borderId="20" xfId="0" applyFont="1" applyFill="1" applyBorder="1" applyAlignment="1" applyProtection="1">
      <alignment horizontal="center" vertical="center" wrapText="1"/>
      <protection/>
    </xf>
    <xf numFmtId="0" fontId="33" fillId="35" borderId="12" xfId="0" applyFont="1" applyFill="1" applyBorder="1" applyAlignment="1" applyProtection="1">
      <alignment horizontal="center" vertical="center" wrapText="1"/>
      <protection/>
    </xf>
    <xf numFmtId="0" fontId="95" fillId="42" borderId="51" xfId="0" applyFont="1" applyFill="1" applyBorder="1" applyAlignment="1" applyProtection="1">
      <alignment horizontal="center" vertical="center"/>
      <protection/>
    </xf>
    <xf numFmtId="0" fontId="95" fillId="42" borderId="34" xfId="0" applyFont="1" applyFill="1" applyBorder="1" applyAlignment="1" applyProtection="1">
      <alignment horizontal="center" vertical="center"/>
      <protection/>
    </xf>
    <xf numFmtId="0" fontId="72" fillId="33" borderId="11" xfId="0" applyFont="1" applyFill="1" applyBorder="1" applyAlignment="1">
      <alignment horizontal="center" vertical="top" wrapText="1"/>
    </xf>
    <xf numFmtId="0" fontId="72" fillId="33" borderId="15" xfId="0" applyFont="1" applyFill="1" applyBorder="1" applyAlignment="1">
      <alignment horizontal="center" vertical="top" wrapText="1"/>
    </xf>
    <xf numFmtId="0" fontId="0" fillId="33" borderId="39" xfId="0" applyFill="1" applyBorder="1" applyAlignment="1">
      <alignment horizontal="center"/>
    </xf>
    <xf numFmtId="0" fontId="0" fillId="33" borderId="38" xfId="0" applyFill="1" applyBorder="1" applyAlignment="1">
      <alignment horizontal="center"/>
    </xf>
    <xf numFmtId="0" fontId="0" fillId="33" borderId="12" xfId="0" applyFill="1" applyBorder="1" applyAlignment="1">
      <alignment horizontal="center"/>
    </xf>
    <xf numFmtId="0" fontId="0" fillId="0" borderId="38" xfId="0" applyBorder="1" applyAlignment="1">
      <alignment horizontal="center" vertical="top"/>
    </xf>
    <xf numFmtId="0" fontId="0" fillId="0" borderId="12" xfId="0" applyBorder="1" applyAlignment="1">
      <alignment horizontal="center" vertical="top"/>
    </xf>
    <xf numFmtId="0" fontId="0" fillId="0" borderId="39" xfId="0" applyBorder="1" applyAlignment="1">
      <alignment horizontal="center" vertical="top"/>
    </xf>
    <xf numFmtId="0" fontId="33" fillId="0" borderId="38" xfId="0" applyFont="1" applyFill="1" applyBorder="1" applyAlignment="1" applyProtection="1">
      <alignment horizontal="center" vertical="center"/>
      <protection/>
    </xf>
    <xf numFmtId="0" fontId="33" fillId="0" borderId="12" xfId="0" applyFont="1" applyFill="1" applyBorder="1" applyAlignment="1" applyProtection="1">
      <alignment horizontal="center" vertical="center"/>
      <protection/>
    </xf>
    <xf numFmtId="0" fontId="33" fillId="0" borderId="39" xfId="0" applyFont="1" applyFill="1" applyBorder="1" applyAlignment="1" applyProtection="1">
      <alignment horizontal="center" vertical="center"/>
      <protection/>
    </xf>
    <xf numFmtId="0" fontId="102" fillId="42" borderId="52" xfId="0" applyFont="1" applyFill="1" applyBorder="1" applyAlignment="1" applyProtection="1">
      <alignment horizontal="center" vertical="center"/>
      <protection/>
    </xf>
    <xf numFmtId="0" fontId="40" fillId="0" borderId="0" xfId="0" applyFont="1" applyAlignment="1" applyProtection="1">
      <alignment horizontal="left" vertical="center"/>
      <protection/>
    </xf>
    <xf numFmtId="0" fontId="79" fillId="0" borderId="60" xfId="0" applyFont="1" applyBorder="1" applyAlignment="1" applyProtection="1">
      <alignment horizontal="left" vertical="center"/>
      <protection/>
    </xf>
    <xf numFmtId="0" fontId="79" fillId="0" borderId="28" xfId="0" applyFont="1" applyBorder="1" applyAlignment="1" applyProtection="1">
      <alignment horizontal="left" vertical="center"/>
      <protection/>
    </xf>
    <xf numFmtId="0" fontId="72" fillId="0" borderId="10" xfId="0" applyFont="1" applyBorder="1" applyAlignment="1" applyProtection="1">
      <alignment horizontal="left"/>
      <protection/>
    </xf>
    <xf numFmtId="0" fontId="72" fillId="0" borderId="10" xfId="0" applyFont="1" applyBorder="1" applyAlignment="1" applyProtection="1">
      <alignment horizontal="center"/>
      <protection/>
    </xf>
    <xf numFmtId="0" fontId="79" fillId="0" borderId="10" xfId="0" applyFont="1" applyBorder="1" applyAlignment="1" applyProtection="1">
      <alignment horizontal="left" vertical="center"/>
      <protection/>
    </xf>
    <xf numFmtId="0" fontId="79" fillId="0" borderId="38" xfId="0" applyFont="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79" fillId="0" borderId="39" xfId="0" applyFont="1" applyBorder="1" applyAlignment="1" applyProtection="1">
      <alignment horizontal="center" vertical="center"/>
      <protection/>
    </xf>
    <xf numFmtId="0" fontId="0" fillId="0" borderId="0" xfId="0" applyAlignment="1" applyProtection="1">
      <alignment horizontal="left" wrapText="1"/>
      <protection/>
    </xf>
    <xf numFmtId="0" fontId="40" fillId="0" borderId="0" xfId="0" applyFont="1" applyAlignment="1" applyProtection="1">
      <alignment horizontal="left" vertical="top" wrapText="1"/>
      <protection/>
    </xf>
    <xf numFmtId="0" fontId="40" fillId="0" borderId="0" xfId="0" applyFont="1" applyAlignment="1" applyProtection="1">
      <alignment horizontal="left" vertical="center" wrapText="1"/>
      <protection/>
    </xf>
    <xf numFmtId="0" fontId="0" fillId="0" borderId="10" xfId="0" applyFont="1" applyBorder="1" applyAlignment="1" applyProtection="1">
      <alignment horizontal="left"/>
      <protection/>
    </xf>
    <xf numFmtId="0" fontId="79" fillId="0" borderId="10" xfId="0" applyFont="1" applyBorder="1" applyAlignment="1" applyProtection="1">
      <alignment horizontal="center" vertical="center"/>
      <protection/>
    </xf>
    <xf numFmtId="0" fontId="102" fillId="42" borderId="10" xfId="0" applyFont="1" applyFill="1" applyBorder="1" applyAlignment="1">
      <alignment horizontal="center"/>
    </xf>
    <xf numFmtId="0" fontId="79" fillId="0" borderId="39" xfId="0" applyFont="1" applyBorder="1" applyAlignment="1">
      <alignment horizontal="left"/>
    </xf>
    <xf numFmtId="0" fontId="79" fillId="0" borderId="12" xfId="0" applyFont="1" applyBorder="1" applyAlignment="1">
      <alignment horizontal="left"/>
    </xf>
    <xf numFmtId="0" fontId="79" fillId="0" borderId="39" xfId="0" applyFont="1" applyBorder="1" applyAlignment="1">
      <alignment horizontal="center"/>
    </xf>
    <xf numFmtId="0" fontId="79" fillId="0" borderId="38" xfId="0" applyFont="1" applyBorder="1" applyAlignment="1">
      <alignment horizontal="center"/>
    </xf>
    <xf numFmtId="0" fontId="79" fillId="0" borderId="12" xfId="0" applyFont="1" applyBorder="1" applyAlignment="1">
      <alignment horizontal="center"/>
    </xf>
    <xf numFmtId="0" fontId="0" fillId="0" borderId="10" xfId="0" applyFont="1" applyBorder="1" applyAlignment="1">
      <alignment horizontal="left"/>
    </xf>
    <xf numFmtId="0" fontId="79" fillId="0" borderId="10" xfId="0" applyFont="1" applyBorder="1" applyAlignment="1">
      <alignment horizontal="center"/>
    </xf>
    <xf numFmtId="0" fontId="102" fillId="42" borderId="39" xfId="0" applyFont="1" applyFill="1" applyBorder="1" applyAlignment="1">
      <alignment horizontal="center" vertical="center" wrapText="1"/>
    </xf>
    <xf numFmtId="0" fontId="102" fillId="42" borderId="38" xfId="0" applyFont="1" applyFill="1" applyBorder="1" applyAlignment="1">
      <alignment horizontal="center" vertical="center" wrapText="1"/>
    </xf>
    <xf numFmtId="0" fontId="102" fillId="42" borderId="12" xfId="0" applyFont="1" applyFill="1" applyBorder="1" applyAlignment="1">
      <alignment horizontal="center" vertical="center" wrapText="1"/>
    </xf>
    <xf numFmtId="0" fontId="79" fillId="0" borderId="39" xfId="0" applyFont="1" applyBorder="1" applyAlignment="1">
      <alignment horizontal="left" vertical="center" wrapText="1"/>
    </xf>
    <xf numFmtId="0" fontId="79" fillId="0" borderId="38" xfId="0" applyFont="1" applyBorder="1" applyAlignment="1">
      <alignment horizontal="left" vertical="center" wrapText="1"/>
    </xf>
    <xf numFmtId="0" fontId="79" fillId="0" borderId="38" xfId="0" applyFont="1" applyBorder="1" applyAlignment="1">
      <alignment horizontal="center" vertical="center" wrapText="1"/>
    </xf>
    <xf numFmtId="0" fontId="79" fillId="0" borderId="12" xfId="0" applyFont="1" applyBorder="1" applyAlignment="1">
      <alignment horizontal="center" vertical="center" wrapText="1"/>
    </xf>
    <xf numFmtId="0" fontId="103" fillId="42" borderId="10" xfId="0" applyFont="1" applyFill="1" applyBorder="1" applyAlignment="1">
      <alignment horizontal="center" vertical="center"/>
    </xf>
    <xf numFmtId="0" fontId="79" fillId="0" borderId="39" xfId="0" applyFont="1" applyBorder="1" applyAlignment="1">
      <alignment horizontal="left" vertical="center"/>
    </xf>
    <xf numFmtId="0" fontId="79" fillId="0" borderId="12" xfId="0" applyFont="1" applyBorder="1" applyAlignment="1">
      <alignment horizontal="left" vertical="center"/>
    </xf>
    <xf numFmtId="0" fontId="79" fillId="0" borderId="39" xfId="0" applyFont="1" applyBorder="1" applyAlignment="1">
      <alignment horizontal="center" vertical="center"/>
    </xf>
    <xf numFmtId="0" fontId="79" fillId="0" borderId="38" xfId="0" applyFont="1" applyBorder="1" applyAlignment="1">
      <alignment horizontal="center" vertical="center"/>
    </xf>
    <xf numFmtId="0" fontId="79" fillId="0" borderId="12" xfId="0" applyFont="1" applyBorder="1" applyAlignment="1">
      <alignment horizontal="center" vertical="center"/>
    </xf>
    <xf numFmtId="0" fontId="0" fillId="0" borderId="10" xfId="0" applyFont="1" applyBorder="1" applyAlignment="1">
      <alignment horizontal="left" vertical="center"/>
    </xf>
    <xf numFmtId="2" fontId="102" fillId="42" borderId="10" xfId="0" applyNumberFormat="1" applyFont="1" applyFill="1" applyBorder="1" applyAlignment="1">
      <alignment horizontal="center" vertical="center"/>
    </xf>
    <xf numFmtId="2" fontId="79" fillId="0" borderId="10" xfId="0" applyNumberFormat="1" applyFont="1" applyBorder="1" applyAlignment="1">
      <alignment horizontal="center" vertical="center"/>
    </xf>
    <xf numFmtId="0" fontId="79" fillId="0" borderId="39" xfId="0" applyFont="1" applyBorder="1" applyAlignment="1">
      <alignment horizontal="center" vertical="center" wrapText="1"/>
    </xf>
    <xf numFmtId="0" fontId="72" fillId="0" borderId="39" xfId="0" applyFont="1" applyFill="1" applyBorder="1" applyAlignment="1">
      <alignment horizontal="center" vertical="center"/>
    </xf>
    <xf numFmtId="0" fontId="72" fillId="0" borderId="38" xfId="0" applyFont="1" applyFill="1" applyBorder="1" applyAlignment="1">
      <alignment horizontal="center" vertical="center"/>
    </xf>
    <xf numFmtId="0" fontId="72" fillId="0" borderId="12" xfId="0" applyFont="1" applyFill="1" applyBorder="1" applyAlignment="1">
      <alignment horizontal="center" vertical="center"/>
    </xf>
    <xf numFmtId="0" fontId="0" fillId="0" borderId="10" xfId="0" applyFont="1" applyFill="1" applyBorder="1" applyAlignment="1" applyProtection="1">
      <alignment vertical="top"/>
      <protection/>
    </xf>
    <xf numFmtId="0" fontId="0" fillId="0" borderId="10" xfId="0" applyFont="1" applyFill="1" applyBorder="1" applyAlignment="1" applyProtection="1">
      <alignment horizontal="left" vertical="top" wrapText="1"/>
      <protection/>
    </xf>
    <xf numFmtId="0" fontId="0" fillId="0" borderId="10" xfId="0" applyFont="1" applyFill="1" applyBorder="1" applyAlignment="1" applyProtection="1">
      <alignment vertical="top" wrapText="1"/>
      <protection/>
    </xf>
    <xf numFmtId="0" fontId="72" fillId="0" borderId="10" xfId="0" applyFont="1" applyFill="1" applyBorder="1" applyAlignment="1" applyProtection="1">
      <alignment vertical="top"/>
      <protection/>
    </xf>
    <xf numFmtId="0" fontId="87" fillId="0" borderId="10" xfId="0" applyFont="1" applyFill="1" applyBorder="1" applyAlignment="1" applyProtection="1">
      <alignment vertical="top" wrapText="1"/>
      <protection/>
    </xf>
    <xf numFmtId="0" fontId="0" fillId="0" borderId="10" xfId="0" applyFont="1" applyFill="1" applyBorder="1" applyAlignment="1" applyProtection="1">
      <alignment/>
      <protection/>
    </xf>
    <xf numFmtId="0" fontId="83" fillId="0" borderId="11" xfId="0" applyFont="1" applyFill="1" applyBorder="1" applyAlignment="1" applyProtection="1">
      <alignment horizontal="left" vertical="top" wrapText="1"/>
      <protection/>
    </xf>
    <xf numFmtId="0" fontId="83" fillId="0" borderId="15"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0" fontId="83" fillId="0" borderId="10"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83" fillId="0" borderId="41"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83" fillId="0" borderId="15" xfId="0" applyFont="1" applyFill="1" applyBorder="1" applyAlignment="1" applyProtection="1">
      <alignment vertical="top" wrapText="1"/>
      <protection/>
    </xf>
    <xf numFmtId="0" fontId="83"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72" fillId="0" borderId="10" xfId="0" applyFont="1" applyFill="1" applyBorder="1" applyAlignment="1" applyProtection="1">
      <alignment horizontal="left" vertical="top" wrapText="1"/>
      <protection/>
    </xf>
    <xf numFmtId="0" fontId="87" fillId="0" borderId="10" xfId="0" applyFont="1" applyFill="1" applyBorder="1" applyAlignment="1" applyProtection="1">
      <alignment horizontal="left" vertical="top" wrapText="1"/>
      <protection/>
    </xf>
    <xf numFmtId="0" fontId="72" fillId="0" borderId="10" xfId="0" applyFont="1" applyFill="1" applyBorder="1" applyAlignment="1" applyProtection="1">
      <alignment/>
      <protection/>
    </xf>
    <xf numFmtId="0" fontId="0" fillId="0" borderId="11" xfId="0" applyFont="1" applyFill="1" applyBorder="1" applyAlignment="1" applyProtection="1">
      <alignment horizontal="center" vertical="top" wrapText="1"/>
      <protection/>
    </xf>
    <xf numFmtId="0" fontId="0" fillId="0" borderId="41"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0" borderId="10" xfId="0" applyFont="1" applyFill="1" applyBorder="1" applyAlignment="1" applyProtection="1">
      <alignment wrapText="1"/>
      <protection/>
    </xf>
    <xf numFmtId="0" fontId="0" fillId="0" borderId="10" xfId="0" applyFont="1" applyFill="1" applyBorder="1" applyAlignment="1" applyProtection="1">
      <alignment horizontal="left" wrapText="1"/>
      <protection/>
    </xf>
    <xf numFmtId="0" fontId="72" fillId="0" borderId="10" xfId="0" applyFont="1" applyFill="1" applyBorder="1" applyAlignment="1" applyProtection="1">
      <alignment horizontal="left" wrapText="1"/>
      <protection/>
    </xf>
    <xf numFmtId="0" fontId="0" fillId="0" borderId="1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0" fontId="83" fillId="0" borderId="0" xfId="0" applyFont="1" applyFill="1" applyAlignment="1" applyProtection="1">
      <alignment vertical="top" wrapText="1"/>
      <protection/>
    </xf>
    <xf numFmtId="0" fontId="84" fillId="0" borderId="10" xfId="0" applyFont="1" applyFill="1" applyBorder="1" applyAlignment="1">
      <alignment vertical="center" wrapText="1"/>
    </xf>
    <xf numFmtId="0" fontId="84"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84" fillId="0" borderId="10" xfId="0" applyNumberFormat="1" applyFont="1" applyFill="1" applyBorder="1" applyAlignment="1">
      <alignment horizontal="center" vertical="center" wrapText="1"/>
    </xf>
    <xf numFmtId="0" fontId="85" fillId="0" borderId="10" xfId="0" applyFont="1" applyFill="1" applyBorder="1" applyAlignment="1">
      <alignment vertical="center" wrapText="1"/>
    </xf>
    <xf numFmtId="166" fontId="84" fillId="0" borderId="10" xfId="0" applyNumberFormat="1" applyFont="1" applyFill="1" applyBorder="1" applyAlignment="1">
      <alignment horizontal="center" vertical="center" wrapText="1"/>
    </xf>
    <xf numFmtId="0" fontId="72" fillId="0" borderId="20" xfId="0" applyFont="1" applyBorder="1" applyAlignment="1" applyProtection="1">
      <alignment horizontal="center" vertical="center" wrapText="1"/>
      <protection/>
    </xf>
    <xf numFmtId="0" fontId="72" fillId="0" borderId="12" xfId="0" applyFont="1" applyBorder="1" applyAlignment="1" applyProtection="1">
      <alignment horizontal="center" vertical="center" wrapText="1"/>
      <protection/>
    </xf>
    <xf numFmtId="2" fontId="72" fillId="0" borderId="10" xfId="0" applyNumberFormat="1" applyFont="1" applyBorder="1" applyAlignment="1" applyProtection="1">
      <alignment horizontal="center" vertical="center" wrapText="1"/>
      <protection/>
    </xf>
    <xf numFmtId="2" fontId="72" fillId="0" borderId="24" xfId="0" applyNumberFormat="1" applyFont="1" applyBorder="1" applyAlignment="1" applyProtection="1">
      <alignment horizontal="center" vertical="center" wrapText="1"/>
      <protection/>
    </xf>
    <xf numFmtId="0" fontId="0" fillId="0" borderId="20" xfId="0" applyFont="1" applyBorder="1" applyAlignment="1" applyProtection="1">
      <alignment vertical="center" wrapText="1"/>
      <protection/>
    </xf>
    <xf numFmtId="2" fontId="0" fillId="0" borderId="10" xfId="0" applyNumberFormat="1" applyFont="1" applyBorder="1" applyAlignment="1" applyProtection="1">
      <alignment horizontal="center" vertical="center" wrapText="1"/>
      <protection/>
    </xf>
    <xf numFmtId="2" fontId="0" fillId="0" borderId="24" xfId="0" applyNumberFormat="1" applyFont="1" applyBorder="1" applyAlignment="1" applyProtection="1">
      <alignment horizontal="center" vertical="center" wrapText="1"/>
      <protection/>
    </xf>
    <xf numFmtId="0" fontId="72" fillId="38" borderId="10" xfId="0" applyFont="1" applyFill="1" applyBorder="1" applyAlignment="1" applyProtection="1">
      <alignment vertical="center" wrapText="1"/>
      <protection/>
    </xf>
    <xf numFmtId="0" fontId="72" fillId="38" borderId="10" xfId="0" applyFont="1" applyFill="1" applyBorder="1" applyAlignment="1" applyProtection="1">
      <alignment horizontal="left" vertical="center" wrapText="1"/>
      <protection/>
    </xf>
    <xf numFmtId="0" fontId="72" fillId="38" borderId="10" xfId="0" applyFont="1" applyFill="1" applyBorder="1" applyAlignment="1" applyProtection="1">
      <alignment horizontal="center" vertical="center" wrapText="1"/>
      <protection/>
    </xf>
    <xf numFmtId="2" fontId="72" fillId="38" borderId="10" xfId="0" applyNumberFormat="1" applyFont="1" applyFill="1" applyBorder="1" applyAlignment="1" applyProtection="1">
      <alignment horizontal="center" vertical="center" wrapText="1"/>
      <protection/>
    </xf>
    <xf numFmtId="0" fontId="72" fillId="35" borderId="26" xfId="0" applyFont="1" applyFill="1" applyBorder="1" applyAlignment="1" applyProtection="1">
      <alignment horizontal="center" vertical="center" wrapText="1"/>
      <protection/>
    </xf>
    <xf numFmtId="0" fontId="72" fillId="35" borderId="61" xfId="0" applyFont="1" applyFill="1" applyBorder="1" applyAlignment="1" applyProtection="1">
      <alignment horizontal="center" vertical="center" wrapText="1"/>
      <protection/>
    </xf>
    <xf numFmtId="166" fontId="72" fillId="38" borderId="10" xfId="0" applyNumberFormat="1" applyFont="1" applyFill="1" applyBorder="1" applyAlignment="1" applyProtection="1">
      <alignment horizontal="center" vertical="center" wrapText="1"/>
      <protection/>
    </xf>
    <xf numFmtId="166" fontId="29" fillId="0" borderId="1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6">
    <dxf>
      <fill>
        <patternFill>
          <bgColor theme="0" tint="-0.3499799966812134"/>
        </patternFill>
      </fill>
    </dxf>
    <dxf>
      <fill>
        <patternFill>
          <bgColor theme="0" tint="-0.149959996342659"/>
        </patternFill>
      </fill>
    </dxf>
    <dxf>
      <fill>
        <patternFill>
          <bgColor indexed="55"/>
        </patternFill>
      </fill>
    </dxf>
    <dxf>
      <fill>
        <patternFill>
          <bgColor indexed="22"/>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
      <fill>
        <patternFill>
          <bgColor theme="0" tint="-0.3499799966812134"/>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08"/>
  <sheetViews>
    <sheetView zoomScale="80" zoomScaleNormal="80" zoomScalePageLayoutView="0" workbookViewId="0" topLeftCell="A1">
      <selection activeCell="B19" sqref="B19"/>
    </sheetView>
  </sheetViews>
  <sheetFormatPr defaultColWidth="0" defaultRowHeight="15"/>
  <cols>
    <col min="1" max="1" width="10.140625" style="440" customWidth="1"/>
    <col min="2" max="2" width="79.7109375" style="417" customWidth="1"/>
    <col min="3" max="3" width="28.00390625" style="438" customWidth="1"/>
    <col min="4" max="4" width="16.28125" style="439" bestFit="1" customWidth="1"/>
    <col min="5" max="5" width="35.28125" style="438" customWidth="1"/>
    <col min="6" max="6" width="33.7109375" style="439" customWidth="1"/>
    <col min="7" max="7" width="9.00390625" style="422" hidden="1" customWidth="1"/>
    <col min="8" max="8" width="4.7109375" style="417" hidden="1" customWidth="1"/>
    <col min="9" max="9" width="23.421875" style="417" hidden="1" customWidth="1"/>
    <col min="10" max="16384" width="0" style="417" hidden="1" customWidth="1"/>
  </cols>
  <sheetData>
    <row r="1" spans="1:7" ht="45.75" customHeight="1">
      <c r="A1" s="821" t="s">
        <v>1263</v>
      </c>
      <c r="B1" s="821"/>
      <c r="C1" s="821"/>
      <c r="D1" s="821"/>
      <c r="E1" s="821"/>
      <c r="F1" s="821"/>
      <c r="G1" s="416"/>
    </row>
    <row r="2" spans="1:6" ht="14.25">
      <c r="A2" s="418"/>
      <c r="B2" s="419"/>
      <c r="C2" s="420"/>
      <c r="D2" s="421"/>
      <c r="E2" s="420"/>
      <c r="F2" s="421"/>
    </row>
    <row r="3" spans="1:7" ht="57">
      <c r="A3" s="423" t="s">
        <v>638</v>
      </c>
      <c r="B3" s="682" t="s">
        <v>540</v>
      </c>
      <c r="C3" s="785" t="s">
        <v>866</v>
      </c>
      <c r="D3" s="786" t="s">
        <v>923</v>
      </c>
      <c r="E3" s="424" t="s">
        <v>1081</v>
      </c>
      <c r="F3" s="424" t="s">
        <v>1082</v>
      </c>
      <c r="G3" s="425"/>
    </row>
    <row r="4" spans="1:7" ht="21" customHeight="1">
      <c r="A4" s="822" t="s">
        <v>1641</v>
      </c>
      <c r="B4" s="823"/>
      <c r="C4" s="823"/>
      <c r="D4" s="823"/>
      <c r="E4" s="823"/>
      <c r="F4" s="824"/>
      <c r="G4" s="425"/>
    </row>
    <row r="5" spans="1:7" ht="21" customHeight="1">
      <c r="A5" s="825" t="s">
        <v>1612</v>
      </c>
      <c r="B5" s="826"/>
      <c r="C5" s="826"/>
      <c r="D5" s="826"/>
      <c r="E5" s="826"/>
      <c r="F5" s="827"/>
      <c r="G5" s="425"/>
    </row>
    <row r="6" spans="1:7" ht="26.25" customHeight="1">
      <c r="A6" s="414" t="s">
        <v>6</v>
      </c>
      <c r="B6" s="426" t="s">
        <v>5</v>
      </c>
      <c r="C6" s="420"/>
      <c r="D6" s="421"/>
      <c r="E6" s="421"/>
      <c r="F6" s="421"/>
      <c r="G6" s="427"/>
    </row>
    <row r="7" spans="1:7" ht="36">
      <c r="A7" s="90" t="s">
        <v>63</v>
      </c>
      <c r="B7" s="89" t="s">
        <v>664</v>
      </c>
      <c r="C7" s="420" t="s">
        <v>943</v>
      </c>
      <c r="D7" s="421" t="s">
        <v>111</v>
      </c>
      <c r="E7" s="428" t="s">
        <v>1104</v>
      </c>
      <c r="F7" s="421" t="s">
        <v>989</v>
      </c>
      <c r="G7" s="427"/>
    </row>
    <row r="8" spans="1:7" ht="36">
      <c r="A8" s="90" t="s">
        <v>64</v>
      </c>
      <c r="B8" s="89" t="s">
        <v>665</v>
      </c>
      <c r="C8" s="429" t="s">
        <v>944</v>
      </c>
      <c r="D8" s="421" t="s">
        <v>111</v>
      </c>
      <c r="E8" s="428" t="s">
        <v>1105</v>
      </c>
      <c r="F8" s="421" t="s">
        <v>989</v>
      </c>
      <c r="G8" s="427"/>
    </row>
    <row r="9" spans="1:7" ht="36">
      <c r="A9" s="90" t="s">
        <v>65</v>
      </c>
      <c r="B9" s="89" t="s">
        <v>1103</v>
      </c>
      <c r="C9" s="430" t="s">
        <v>945</v>
      </c>
      <c r="D9" s="421" t="s">
        <v>950</v>
      </c>
      <c r="E9" s="428" t="s">
        <v>1574</v>
      </c>
      <c r="F9" s="421" t="s">
        <v>1013</v>
      </c>
      <c r="G9" s="427"/>
    </row>
    <row r="10" spans="1:7" ht="36">
      <c r="A10" s="90" t="s">
        <v>77</v>
      </c>
      <c r="B10" s="89" t="s">
        <v>541</v>
      </c>
      <c r="C10" s="429" t="s">
        <v>946</v>
      </c>
      <c r="D10" s="421" t="s">
        <v>947</v>
      </c>
      <c r="E10" s="421" t="s">
        <v>1574</v>
      </c>
      <c r="F10" s="421" t="s">
        <v>1013</v>
      </c>
      <c r="G10" s="427"/>
    </row>
    <row r="11" spans="1:7" ht="28.5">
      <c r="A11" s="90" t="s">
        <v>86</v>
      </c>
      <c r="B11" s="89" t="s">
        <v>894</v>
      </c>
      <c r="C11" s="429" t="s">
        <v>948</v>
      </c>
      <c r="D11" s="421" t="s">
        <v>924</v>
      </c>
      <c r="E11" s="421" t="s">
        <v>1014</v>
      </c>
      <c r="F11" s="421" t="s">
        <v>1575</v>
      </c>
      <c r="G11" s="427"/>
    </row>
    <row r="12" spans="1:7" ht="28.5">
      <c r="A12" s="90" t="s">
        <v>87</v>
      </c>
      <c r="B12" s="89" t="s">
        <v>895</v>
      </c>
      <c r="C12" s="429" t="s">
        <v>948</v>
      </c>
      <c r="D12" s="421" t="s">
        <v>924</v>
      </c>
      <c r="E12" s="421" t="s">
        <v>1014</v>
      </c>
      <c r="F12" s="421" t="s">
        <v>1575</v>
      </c>
      <c r="G12" s="427"/>
    </row>
    <row r="13" spans="1:7" ht="28.5">
      <c r="A13" s="90" t="s">
        <v>88</v>
      </c>
      <c r="B13" s="89" t="s">
        <v>896</v>
      </c>
      <c r="C13" s="429" t="s">
        <v>948</v>
      </c>
      <c r="D13" s="421" t="s">
        <v>924</v>
      </c>
      <c r="E13" s="421" t="s">
        <v>1014</v>
      </c>
      <c r="F13" s="421" t="s">
        <v>949</v>
      </c>
      <c r="G13" s="427"/>
    </row>
    <row r="14" spans="1:7" ht="28.5">
      <c r="A14" s="90" t="s">
        <v>89</v>
      </c>
      <c r="B14" s="89" t="s">
        <v>897</v>
      </c>
      <c r="C14" s="429" t="s">
        <v>948</v>
      </c>
      <c r="D14" s="421" t="s">
        <v>924</v>
      </c>
      <c r="E14" s="421" t="s">
        <v>1014</v>
      </c>
      <c r="F14" s="421" t="s">
        <v>949</v>
      </c>
      <c r="G14" s="427"/>
    </row>
    <row r="15" spans="1:7" ht="14.25">
      <c r="A15" s="414" t="s">
        <v>90</v>
      </c>
      <c r="B15" s="426" t="s">
        <v>542</v>
      </c>
      <c r="C15" s="420"/>
      <c r="D15" s="421"/>
      <c r="E15" s="421"/>
      <c r="F15" s="421"/>
      <c r="G15" s="427"/>
    </row>
    <row r="16" spans="1:7" ht="14.25">
      <c r="A16" s="414" t="s">
        <v>91</v>
      </c>
      <c r="B16" s="426" t="s">
        <v>543</v>
      </c>
      <c r="C16" s="420"/>
      <c r="D16" s="421"/>
      <c r="E16" s="421"/>
      <c r="F16" s="421"/>
      <c r="G16" s="427"/>
    </row>
    <row r="17" spans="1:7" ht="36">
      <c r="A17" s="90" t="s">
        <v>96</v>
      </c>
      <c r="B17" s="89" t="s">
        <v>666</v>
      </c>
      <c r="C17" s="420"/>
      <c r="D17" s="421" t="s">
        <v>950</v>
      </c>
      <c r="E17" s="421" t="s">
        <v>1031</v>
      </c>
      <c r="F17" s="421" t="s">
        <v>1576</v>
      </c>
      <c r="G17" s="427"/>
    </row>
    <row r="18" spans="1:7" ht="36">
      <c r="A18" s="90" t="s">
        <v>97</v>
      </c>
      <c r="B18" s="89" t="s">
        <v>544</v>
      </c>
      <c r="C18" s="420"/>
      <c r="D18" s="421" t="s">
        <v>950</v>
      </c>
      <c r="E18" s="421" t="s">
        <v>1031</v>
      </c>
      <c r="F18" s="421" t="s">
        <v>1576</v>
      </c>
      <c r="G18" s="427"/>
    </row>
    <row r="19" spans="1:7" ht="36">
      <c r="A19" s="90" t="s">
        <v>98</v>
      </c>
      <c r="B19" s="463" t="s">
        <v>545</v>
      </c>
      <c r="C19" s="997"/>
      <c r="D19" s="431" t="s">
        <v>950</v>
      </c>
      <c r="E19" s="431" t="s">
        <v>1031</v>
      </c>
      <c r="F19" s="431" t="s">
        <v>1576</v>
      </c>
      <c r="G19" s="427"/>
    </row>
    <row r="20" spans="1:7" ht="28.5">
      <c r="A20" s="90" t="s">
        <v>166</v>
      </c>
      <c r="B20" s="463" t="s">
        <v>546</v>
      </c>
      <c r="C20" s="997"/>
      <c r="D20" s="431" t="s">
        <v>924</v>
      </c>
      <c r="E20" s="431" t="s">
        <v>1015</v>
      </c>
      <c r="F20" s="431" t="s">
        <v>974</v>
      </c>
      <c r="G20" s="427"/>
    </row>
    <row r="21" spans="1:7" ht="28.5">
      <c r="A21" s="90" t="s">
        <v>167</v>
      </c>
      <c r="B21" s="463" t="s">
        <v>547</v>
      </c>
      <c r="C21" s="997"/>
      <c r="D21" s="431" t="s">
        <v>924</v>
      </c>
      <c r="E21" s="431" t="s">
        <v>1015</v>
      </c>
      <c r="F21" s="431" t="s">
        <v>974</v>
      </c>
      <c r="G21" s="427"/>
    </row>
    <row r="22" spans="1:7" ht="36">
      <c r="A22" s="90" t="s">
        <v>168</v>
      </c>
      <c r="B22" s="463" t="s">
        <v>548</v>
      </c>
      <c r="C22" s="997"/>
      <c r="D22" s="431" t="s">
        <v>924</v>
      </c>
      <c r="E22" s="431" t="s">
        <v>1024</v>
      </c>
      <c r="F22" s="431" t="s">
        <v>990</v>
      </c>
      <c r="G22" s="427"/>
    </row>
    <row r="23" spans="1:7" ht="36">
      <c r="A23" s="90" t="s">
        <v>173</v>
      </c>
      <c r="B23" s="463" t="s">
        <v>549</v>
      </c>
      <c r="C23" s="997"/>
      <c r="D23" s="431" t="s">
        <v>924</v>
      </c>
      <c r="E23" s="431" t="s">
        <v>1024</v>
      </c>
      <c r="F23" s="431" t="s">
        <v>990</v>
      </c>
      <c r="G23" s="427"/>
    </row>
    <row r="24" spans="1:7" ht="36">
      <c r="A24" s="90" t="s">
        <v>174</v>
      </c>
      <c r="B24" s="463" t="s">
        <v>550</v>
      </c>
      <c r="C24" s="997"/>
      <c r="D24" s="431" t="s">
        <v>924</v>
      </c>
      <c r="E24" s="431" t="s">
        <v>1024</v>
      </c>
      <c r="F24" s="431" t="s">
        <v>990</v>
      </c>
      <c r="G24" s="427"/>
    </row>
    <row r="25" spans="1:7" ht="36">
      <c r="A25" s="90" t="s">
        <v>186</v>
      </c>
      <c r="B25" s="463" t="s">
        <v>551</v>
      </c>
      <c r="C25" s="997"/>
      <c r="D25" s="431" t="s">
        <v>924</v>
      </c>
      <c r="E25" s="431" t="s">
        <v>1024</v>
      </c>
      <c r="F25" s="431" t="s">
        <v>990</v>
      </c>
      <c r="G25" s="427"/>
    </row>
    <row r="26" spans="1:7" ht="36">
      <c r="A26" s="90" t="s">
        <v>187</v>
      </c>
      <c r="B26" s="463" t="s">
        <v>552</v>
      </c>
      <c r="C26" s="997"/>
      <c r="D26" s="431" t="s">
        <v>924</v>
      </c>
      <c r="E26" s="431" t="s">
        <v>1024</v>
      </c>
      <c r="F26" s="431" t="s">
        <v>990</v>
      </c>
      <c r="G26" s="427"/>
    </row>
    <row r="27" spans="1:7" ht="36">
      <c r="A27" s="90" t="s">
        <v>188</v>
      </c>
      <c r="B27" s="463" t="s">
        <v>553</v>
      </c>
      <c r="C27" s="997"/>
      <c r="D27" s="431" t="s">
        <v>924</v>
      </c>
      <c r="E27" s="431" t="s">
        <v>1024</v>
      </c>
      <c r="F27" s="431" t="s">
        <v>990</v>
      </c>
      <c r="G27" s="427"/>
    </row>
    <row r="28" spans="1:7" ht="36">
      <c r="A28" s="90" t="s">
        <v>189</v>
      </c>
      <c r="B28" s="463" t="s">
        <v>554</v>
      </c>
      <c r="C28" s="997"/>
      <c r="D28" s="431" t="s">
        <v>924</v>
      </c>
      <c r="E28" s="431" t="s">
        <v>1024</v>
      </c>
      <c r="F28" s="431" t="s">
        <v>990</v>
      </c>
      <c r="G28" s="427"/>
    </row>
    <row r="29" spans="1:7" ht="14.25">
      <c r="A29" s="90"/>
      <c r="B29" s="463"/>
      <c r="C29" s="997"/>
      <c r="D29" s="431"/>
      <c r="E29" s="431"/>
      <c r="F29" s="431"/>
      <c r="G29" s="427"/>
    </row>
    <row r="30" spans="1:7" ht="14.25">
      <c r="A30" s="414" t="s">
        <v>7</v>
      </c>
      <c r="B30" s="469" t="s">
        <v>535</v>
      </c>
      <c r="C30" s="997"/>
      <c r="D30" s="431"/>
      <c r="E30" s="431"/>
      <c r="F30" s="431"/>
      <c r="G30" s="427"/>
    </row>
    <row r="31" spans="1:7" ht="24">
      <c r="A31" s="90" t="s">
        <v>555</v>
      </c>
      <c r="B31" s="463" t="s">
        <v>556</v>
      </c>
      <c r="C31" s="997"/>
      <c r="D31" s="431" t="s">
        <v>950</v>
      </c>
      <c r="E31" s="431" t="s">
        <v>1025</v>
      </c>
      <c r="F31" s="431" t="s">
        <v>1013</v>
      </c>
      <c r="G31" s="427"/>
    </row>
    <row r="32" spans="1:7" ht="28.5">
      <c r="A32" s="90" t="s">
        <v>557</v>
      </c>
      <c r="B32" s="463" t="s">
        <v>558</v>
      </c>
      <c r="C32" s="997"/>
      <c r="D32" s="431" t="s">
        <v>950</v>
      </c>
      <c r="E32" s="431" t="s">
        <v>1026</v>
      </c>
      <c r="F32" s="431" t="s">
        <v>1013</v>
      </c>
      <c r="G32" s="427"/>
    </row>
    <row r="33" spans="1:7" ht="36">
      <c r="A33" s="90" t="s">
        <v>559</v>
      </c>
      <c r="B33" s="463" t="s">
        <v>560</v>
      </c>
      <c r="C33" s="997"/>
      <c r="D33" s="431" t="s">
        <v>950</v>
      </c>
      <c r="E33" s="431" t="s">
        <v>1016</v>
      </c>
      <c r="F33" s="431" t="s">
        <v>975</v>
      </c>
      <c r="G33" s="427"/>
    </row>
    <row r="34" spans="1:7" ht="24">
      <c r="A34" s="90" t="s">
        <v>561</v>
      </c>
      <c r="B34" s="463" t="s">
        <v>562</v>
      </c>
      <c r="C34" s="997"/>
      <c r="D34" s="431" t="s">
        <v>950</v>
      </c>
      <c r="E34" s="431" t="s">
        <v>1573</v>
      </c>
      <c r="F34" s="431" t="s">
        <v>991</v>
      </c>
      <c r="G34" s="427"/>
    </row>
    <row r="35" spans="1:7" ht="24">
      <c r="A35" s="90" t="s">
        <v>667</v>
      </c>
      <c r="B35" s="463" t="s">
        <v>853</v>
      </c>
      <c r="C35" s="997"/>
      <c r="D35" s="431" t="s">
        <v>950</v>
      </c>
      <c r="E35" s="431" t="s">
        <v>1573</v>
      </c>
      <c r="F35" s="431" t="s">
        <v>991</v>
      </c>
      <c r="G35" s="427"/>
    </row>
    <row r="36" spans="1:7" ht="24">
      <c r="A36" s="90" t="s">
        <v>668</v>
      </c>
      <c r="B36" s="463" t="s">
        <v>854</v>
      </c>
      <c r="C36" s="998" t="s">
        <v>1049</v>
      </c>
      <c r="D36" s="431" t="s">
        <v>950</v>
      </c>
      <c r="E36" s="431" t="s">
        <v>1573</v>
      </c>
      <c r="F36" s="431" t="s">
        <v>991</v>
      </c>
      <c r="G36" s="427"/>
    </row>
    <row r="37" spans="1:7" ht="24">
      <c r="A37" s="90" t="s">
        <v>669</v>
      </c>
      <c r="B37" s="463" t="s">
        <v>855</v>
      </c>
      <c r="C37" s="998"/>
      <c r="D37" s="431" t="s">
        <v>950</v>
      </c>
      <c r="E37" s="431" t="s">
        <v>1573</v>
      </c>
      <c r="F37" s="431" t="s">
        <v>991</v>
      </c>
      <c r="G37" s="427"/>
    </row>
    <row r="38" spans="1:7" ht="36">
      <c r="A38" s="90" t="s">
        <v>712</v>
      </c>
      <c r="B38" s="463" t="s">
        <v>1050</v>
      </c>
      <c r="C38" s="998"/>
      <c r="D38" s="431" t="s">
        <v>950</v>
      </c>
      <c r="E38" s="431" t="s">
        <v>1577</v>
      </c>
      <c r="F38" s="431" t="s">
        <v>991</v>
      </c>
      <c r="G38" s="427"/>
    </row>
    <row r="39" spans="1:7" ht="36">
      <c r="A39" s="90" t="s">
        <v>856</v>
      </c>
      <c r="B39" s="463" t="s">
        <v>861</v>
      </c>
      <c r="C39" s="998"/>
      <c r="D39" s="431" t="s">
        <v>950</v>
      </c>
      <c r="E39" s="431" t="s">
        <v>1578</v>
      </c>
      <c r="F39" s="431" t="s">
        <v>991</v>
      </c>
      <c r="G39" s="427"/>
    </row>
    <row r="40" spans="1:7" ht="36">
      <c r="A40" s="90" t="s">
        <v>860</v>
      </c>
      <c r="B40" s="463" t="s">
        <v>862</v>
      </c>
      <c r="C40" s="998"/>
      <c r="D40" s="431" t="s">
        <v>950</v>
      </c>
      <c r="E40" s="431" t="s">
        <v>1579</v>
      </c>
      <c r="F40" s="431" t="s">
        <v>991</v>
      </c>
      <c r="G40" s="427"/>
    </row>
    <row r="41" spans="1:7" ht="36">
      <c r="A41" s="90" t="s">
        <v>863</v>
      </c>
      <c r="B41" s="463" t="s">
        <v>1051</v>
      </c>
      <c r="C41" s="998"/>
      <c r="D41" s="431" t="s">
        <v>950</v>
      </c>
      <c r="E41" s="431" t="s">
        <v>1580</v>
      </c>
      <c r="F41" s="431" t="s">
        <v>991</v>
      </c>
      <c r="G41" s="427"/>
    </row>
    <row r="42" spans="1:7" ht="36">
      <c r="A42" s="90" t="s">
        <v>864</v>
      </c>
      <c r="B42" s="463" t="s">
        <v>865</v>
      </c>
      <c r="C42" s="997" t="s">
        <v>953</v>
      </c>
      <c r="D42" s="431" t="s">
        <v>950</v>
      </c>
      <c r="E42" s="431" t="s">
        <v>1581</v>
      </c>
      <c r="F42" s="431" t="s">
        <v>991</v>
      </c>
      <c r="G42" s="427"/>
    </row>
    <row r="43" spans="1:7" ht="14.25">
      <c r="A43" s="90"/>
      <c r="B43" s="463"/>
      <c r="C43" s="997"/>
      <c r="D43" s="431"/>
      <c r="E43" s="431"/>
      <c r="F43" s="431"/>
      <c r="G43" s="427"/>
    </row>
    <row r="44" spans="1:7" ht="14.25">
      <c r="A44" s="414" t="s">
        <v>35</v>
      </c>
      <c r="B44" s="469" t="s">
        <v>4</v>
      </c>
      <c r="C44" s="997"/>
      <c r="D44" s="431"/>
      <c r="E44" s="431"/>
      <c r="F44" s="431"/>
      <c r="G44" s="427"/>
    </row>
    <row r="45" spans="1:7" ht="28.5">
      <c r="A45" s="414" t="s">
        <v>112</v>
      </c>
      <c r="B45" s="469" t="s">
        <v>1585</v>
      </c>
      <c r="C45" s="997"/>
      <c r="D45" s="431"/>
      <c r="E45" s="431"/>
      <c r="F45" s="431"/>
      <c r="G45" s="427"/>
    </row>
    <row r="46" spans="1:7" ht="24">
      <c r="A46" s="90" t="s">
        <v>43</v>
      </c>
      <c r="B46" s="463" t="s">
        <v>563</v>
      </c>
      <c r="C46" s="997"/>
      <c r="D46" s="431" t="s">
        <v>924</v>
      </c>
      <c r="E46" s="431" t="s">
        <v>992</v>
      </c>
      <c r="F46" s="431" t="s">
        <v>954</v>
      </c>
      <c r="G46" s="427"/>
    </row>
    <row r="47" spans="1:7" ht="36">
      <c r="A47" s="90" t="s">
        <v>44</v>
      </c>
      <c r="B47" s="463" t="s">
        <v>564</v>
      </c>
      <c r="C47" s="997"/>
      <c r="D47" s="431" t="s">
        <v>924</v>
      </c>
      <c r="E47" s="431" t="s">
        <v>1007</v>
      </c>
      <c r="F47" s="431" t="s">
        <v>954</v>
      </c>
      <c r="G47" s="427"/>
    </row>
    <row r="48" spans="1:7" ht="28.5">
      <c r="A48" s="90" t="s">
        <v>45</v>
      </c>
      <c r="B48" s="463" t="s">
        <v>670</v>
      </c>
      <c r="C48" s="997"/>
      <c r="D48" s="431" t="s">
        <v>924</v>
      </c>
      <c r="E48" s="431" t="s">
        <v>993</v>
      </c>
      <c r="F48" s="431" t="s">
        <v>954</v>
      </c>
      <c r="G48" s="427"/>
    </row>
    <row r="49" spans="1:7" ht="28.5">
      <c r="A49" s="90" t="s">
        <v>46</v>
      </c>
      <c r="B49" s="463" t="s">
        <v>1143</v>
      </c>
      <c r="C49" s="997"/>
      <c r="D49" s="431" t="s">
        <v>926</v>
      </c>
      <c r="E49" s="431" t="s">
        <v>1148</v>
      </c>
      <c r="F49" s="431"/>
      <c r="G49" s="427"/>
    </row>
    <row r="50" spans="1:7" ht="28.5">
      <c r="A50" s="90" t="s">
        <v>47</v>
      </c>
      <c r="B50" s="463" t="s">
        <v>1142</v>
      </c>
      <c r="C50" s="997"/>
      <c r="D50" s="431" t="s">
        <v>926</v>
      </c>
      <c r="E50" s="431" t="s">
        <v>1148</v>
      </c>
      <c r="F50" s="431"/>
      <c r="G50" s="427"/>
    </row>
    <row r="51" spans="1:7" ht="28.5">
      <c r="A51" s="90" t="s">
        <v>48</v>
      </c>
      <c r="B51" s="463" t="s">
        <v>1144</v>
      </c>
      <c r="C51" s="997"/>
      <c r="D51" s="431" t="s">
        <v>926</v>
      </c>
      <c r="E51" s="431" t="s">
        <v>1148</v>
      </c>
      <c r="F51" s="431"/>
      <c r="G51" s="427"/>
    </row>
    <row r="52" spans="1:7" ht="60">
      <c r="A52" s="90" t="s">
        <v>49</v>
      </c>
      <c r="B52" s="463" t="s">
        <v>1145</v>
      </c>
      <c r="C52" s="997"/>
      <c r="D52" s="431" t="s">
        <v>926</v>
      </c>
      <c r="E52" s="431" t="s">
        <v>1149</v>
      </c>
      <c r="F52" s="431"/>
      <c r="G52" s="427"/>
    </row>
    <row r="53" spans="1:7" ht="132">
      <c r="A53" s="90" t="s">
        <v>50</v>
      </c>
      <c r="B53" s="463" t="s">
        <v>1146</v>
      </c>
      <c r="C53" s="431" t="s">
        <v>1175</v>
      </c>
      <c r="D53" s="431" t="s">
        <v>1177</v>
      </c>
      <c r="E53" s="431" t="s">
        <v>1151</v>
      </c>
      <c r="F53" s="431"/>
      <c r="G53" s="427"/>
    </row>
    <row r="54" spans="1:7" ht="120">
      <c r="A54" s="90" t="s">
        <v>101</v>
      </c>
      <c r="B54" s="463" t="s">
        <v>1147</v>
      </c>
      <c r="C54" s="431" t="s">
        <v>1176</v>
      </c>
      <c r="D54" s="431" t="s">
        <v>1178</v>
      </c>
      <c r="E54" s="431" t="s">
        <v>1152</v>
      </c>
      <c r="F54" s="431"/>
      <c r="G54" s="427"/>
    </row>
    <row r="55" spans="1:7" ht="24">
      <c r="A55" s="90" t="s">
        <v>102</v>
      </c>
      <c r="B55" s="463" t="s">
        <v>565</v>
      </c>
      <c r="C55" s="997"/>
      <c r="D55" s="431" t="s">
        <v>955</v>
      </c>
      <c r="E55" s="431" t="s">
        <v>994</v>
      </c>
      <c r="F55" s="431" t="s">
        <v>995</v>
      </c>
      <c r="G55" s="427"/>
    </row>
    <row r="56" spans="1:7" ht="14.25">
      <c r="A56" s="90" t="s">
        <v>103</v>
      </c>
      <c r="B56" s="463" t="s">
        <v>566</v>
      </c>
      <c r="C56" s="997"/>
      <c r="D56" s="431" t="s">
        <v>955</v>
      </c>
      <c r="E56" s="431" t="s">
        <v>976</v>
      </c>
      <c r="F56" s="431"/>
      <c r="G56" s="427"/>
    </row>
    <row r="57" spans="1:7" ht="24">
      <c r="A57" s="745" t="s">
        <v>893</v>
      </c>
      <c r="B57" s="463" t="s">
        <v>1540</v>
      </c>
      <c r="C57" s="431" t="s">
        <v>1538</v>
      </c>
      <c r="D57" s="431"/>
      <c r="E57" s="431" t="s">
        <v>1583</v>
      </c>
      <c r="F57" s="431"/>
      <c r="G57" s="427"/>
    </row>
    <row r="58" spans="1:7" ht="24">
      <c r="A58" s="745" t="s">
        <v>1158</v>
      </c>
      <c r="B58" s="463" t="s">
        <v>1541</v>
      </c>
      <c r="C58" s="431" t="s">
        <v>1539</v>
      </c>
      <c r="D58" s="431"/>
      <c r="E58" s="431" t="s">
        <v>1584</v>
      </c>
      <c r="F58" s="431"/>
      <c r="G58" s="427"/>
    </row>
    <row r="59" spans="1:7" ht="14.25">
      <c r="A59" s="745" t="s">
        <v>1172</v>
      </c>
      <c r="B59" s="463" t="s">
        <v>1542</v>
      </c>
      <c r="C59" s="997"/>
      <c r="D59" s="431"/>
      <c r="E59" s="431"/>
      <c r="F59" s="431"/>
      <c r="G59" s="427"/>
    </row>
    <row r="60" spans="1:7" ht="24">
      <c r="A60" s="745" t="s">
        <v>1173</v>
      </c>
      <c r="B60" s="463" t="s">
        <v>1543</v>
      </c>
      <c r="C60" s="431" t="s">
        <v>1539</v>
      </c>
      <c r="D60" s="431"/>
      <c r="E60" s="431" t="s">
        <v>1584</v>
      </c>
      <c r="F60" s="431"/>
      <c r="G60" s="427"/>
    </row>
    <row r="61" spans="1:7" ht="42.75">
      <c r="A61" s="414" t="s">
        <v>1174</v>
      </c>
      <c r="B61" s="469" t="s">
        <v>671</v>
      </c>
      <c r="C61" s="997"/>
      <c r="D61" s="431"/>
      <c r="E61" s="431"/>
      <c r="F61" s="431"/>
      <c r="G61" s="427"/>
    </row>
    <row r="62" spans="1:7" ht="28.5">
      <c r="A62" s="414" t="s">
        <v>1276</v>
      </c>
      <c r="B62" s="469" t="s">
        <v>1544</v>
      </c>
      <c r="C62" s="997"/>
      <c r="D62" s="431"/>
      <c r="E62" s="431"/>
      <c r="F62" s="431"/>
      <c r="G62" s="427"/>
    </row>
    <row r="63" spans="1:7" ht="28.5">
      <c r="A63" s="745" t="s">
        <v>1277</v>
      </c>
      <c r="B63" s="469" t="s">
        <v>567</v>
      </c>
      <c r="C63" s="997"/>
      <c r="D63" s="431"/>
      <c r="E63" s="431"/>
      <c r="F63" s="431"/>
      <c r="G63" s="427"/>
    </row>
    <row r="64" spans="1:7" ht="14.25">
      <c r="A64" s="414" t="s">
        <v>51</v>
      </c>
      <c r="B64" s="469" t="s">
        <v>568</v>
      </c>
      <c r="C64" s="997"/>
      <c r="D64" s="431"/>
      <c r="E64" s="431"/>
      <c r="F64" s="431"/>
      <c r="G64" s="427"/>
    </row>
    <row r="65" spans="1:7" ht="14.25">
      <c r="A65" s="414" t="s">
        <v>313</v>
      </c>
      <c r="B65" s="469" t="s">
        <v>569</v>
      </c>
      <c r="C65" s="997"/>
      <c r="D65" s="431"/>
      <c r="E65" s="431"/>
      <c r="F65" s="431"/>
      <c r="G65" s="427"/>
    </row>
    <row r="66" spans="1:7" ht="42.75">
      <c r="A66" s="90" t="s">
        <v>43</v>
      </c>
      <c r="B66" s="463" t="s">
        <v>1545</v>
      </c>
      <c r="C66" s="999" t="s">
        <v>1651</v>
      </c>
      <c r="D66" s="431"/>
      <c r="E66" s="431" t="s">
        <v>1610</v>
      </c>
      <c r="F66" s="431"/>
      <c r="G66" s="427"/>
    </row>
    <row r="67" spans="1:7" ht="24">
      <c r="A67" s="90" t="s">
        <v>44</v>
      </c>
      <c r="B67" s="463" t="s">
        <v>675</v>
      </c>
      <c r="C67" s="997"/>
      <c r="D67" s="431" t="s">
        <v>111</v>
      </c>
      <c r="E67" s="431" t="s">
        <v>996</v>
      </c>
      <c r="F67" s="431" t="s">
        <v>977</v>
      </c>
      <c r="G67" s="427"/>
    </row>
    <row r="68" spans="1:7" ht="36">
      <c r="A68" s="90" t="s">
        <v>45</v>
      </c>
      <c r="B68" s="463" t="s">
        <v>672</v>
      </c>
      <c r="C68" s="997"/>
      <c r="D68" s="431" t="s">
        <v>956</v>
      </c>
      <c r="E68" s="431" t="s">
        <v>1017</v>
      </c>
      <c r="F68" s="431" t="s">
        <v>997</v>
      </c>
      <c r="G68" s="427"/>
    </row>
    <row r="69" spans="1:7" ht="36">
      <c r="A69" s="90" t="s">
        <v>46</v>
      </c>
      <c r="B69" s="463" t="s">
        <v>673</v>
      </c>
      <c r="C69" s="997"/>
      <c r="D69" s="431" t="s">
        <v>111</v>
      </c>
      <c r="E69" s="431" t="s">
        <v>1052</v>
      </c>
      <c r="F69" s="431"/>
      <c r="G69" s="427"/>
    </row>
    <row r="70" spans="1:7" ht="36">
      <c r="A70" s="90" t="s">
        <v>47</v>
      </c>
      <c r="B70" s="463" t="s">
        <v>674</v>
      </c>
      <c r="C70" s="997"/>
      <c r="D70" s="431" t="s">
        <v>956</v>
      </c>
      <c r="E70" s="431" t="s">
        <v>1018</v>
      </c>
      <c r="F70" s="431" t="s">
        <v>997</v>
      </c>
      <c r="G70" s="427"/>
    </row>
    <row r="71" spans="1:7" ht="14.25">
      <c r="A71" s="90"/>
      <c r="B71" s="463"/>
      <c r="C71" s="997"/>
      <c r="D71" s="431"/>
      <c r="E71" s="431"/>
      <c r="F71" s="431"/>
      <c r="G71" s="427"/>
    </row>
    <row r="72" spans="1:7" ht="28.5">
      <c r="A72" s="414" t="s">
        <v>1546</v>
      </c>
      <c r="B72" s="469" t="s">
        <v>570</v>
      </c>
      <c r="C72" s="997"/>
      <c r="D72" s="431"/>
      <c r="E72" s="431"/>
      <c r="F72" s="431"/>
      <c r="G72" s="427"/>
    </row>
    <row r="73" spans="1:7" ht="42.75">
      <c r="A73" s="90" t="s">
        <v>43</v>
      </c>
      <c r="B73" s="463" t="s">
        <v>1545</v>
      </c>
      <c r="C73" s="999" t="s">
        <v>1651</v>
      </c>
      <c r="D73" s="431"/>
      <c r="E73" s="431" t="s">
        <v>1610</v>
      </c>
      <c r="F73" s="431"/>
      <c r="G73" s="427"/>
    </row>
    <row r="74" spans="1:7" ht="24">
      <c r="A74" s="90" t="s">
        <v>44</v>
      </c>
      <c r="B74" s="463" t="s">
        <v>677</v>
      </c>
      <c r="C74" s="997"/>
      <c r="D74" s="431" t="s">
        <v>111</v>
      </c>
      <c r="E74" s="431" t="s">
        <v>996</v>
      </c>
      <c r="F74" s="431" t="s">
        <v>998</v>
      </c>
      <c r="G74" s="427"/>
    </row>
    <row r="75" spans="1:7" ht="48">
      <c r="A75" s="90" t="s">
        <v>45</v>
      </c>
      <c r="B75" s="463" t="s">
        <v>676</v>
      </c>
      <c r="C75" s="997"/>
      <c r="D75" s="431" t="s">
        <v>956</v>
      </c>
      <c r="E75" s="431" t="s">
        <v>1019</v>
      </c>
      <c r="F75" s="431" t="s">
        <v>978</v>
      </c>
      <c r="G75" s="427"/>
    </row>
    <row r="76" spans="1:7" ht="36">
      <c r="A76" s="90" t="s">
        <v>46</v>
      </c>
      <c r="B76" s="463" t="s">
        <v>571</v>
      </c>
      <c r="C76" s="997"/>
      <c r="D76" s="431" t="s">
        <v>956</v>
      </c>
      <c r="E76" s="431" t="s">
        <v>1589</v>
      </c>
      <c r="F76" s="431" t="s">
        <v>999</v>
      </c>
      <c r="G76" s="427"/>
    </row>
    <row r="77" spans="1:7" ht="14.25">
      <c r="A77" s="90" t="s">
        <v>47</v>
      </c>
      <c r="B77" s="463" t="s">
        <v>678</v>
      </c>
      <c r="C77" s="997"/>
      <c r="D77" s="431" t="s">
        <v>111</v>
      </c>
      <c r="E77" s="431" t="s">
        <v>979</v>
      </c>
      <c r="F77" s="431" t="s">
        <v>980</v>
      </c>
      <c r="G77" s="427"/>
    </row>
    <row r="78" spans="1:7" ht="36">
      <c r="A78" s="90" t="s">
        <v>48</v>
      </c>
      <c r="B78" s="463" t="s">
        <v>679</v>
      </c>
      <c r="C78" s="997"/>
      <c r="D78" s="431" t="s">
        <v>956</v>
      </c>
      <c r="E78" s="431" t="s">
        <v>1590</v>
      </c>
      <c r="F78" s="431" t="s">
        <v>1008</v>
      </c>
      <c r="G78" s="427"/>
    </row>
    <row r="79" spans="1:7" ht="36">
      <c r="A79" s="90" t="s">
        <v>49</v>
      </c>
      <c r="B79" s="463" t="s">
        <v>1636</v>
      </c>
      <c r="C79" s="997"/>
      <c r="D79" s="431" t="s">
        <v>956</v>
      </c>
      <c r="E79" s="431" t="s">
        <v>1590</v>
      </c>
      <c r="F79" s="431" t="s">
        <v>1008</v>
      </c>
      <c r="G79" s="427"/>
    </row>
    <row r="80" spans="1:7" ht="48">
      <c r="A80" s="90" t="s">
        <v>50</v>
      </c>
      <c r="B80" s="463" t="s">
        <v>922</v>
      </c>
      <c r="C80" s="997"/>
      <c r="D80" s="431" t="s">
        <v>957</v>
      </c>
      <c r="E80" s="431" t="s">
        <v>1587</v>
      </c>
      <c r="F80" s="431" t="s">
        <v>1000</v>
      </c>
      <c r="G80" s="427"/>
    </row>
    <row r="81" spans="1:7" ht="48">
      <c r="A81" s="90" t="s">
        <v>101</v>
      </c>
      <c r="B81" s="463" t="s">
        <v>920</v>
      </c>
      <c r="C81" s="997"/>
      <c r="D81" s="431" t="s">
        <v>957</v>
      </c>
      <c r="E81" s="431" t="s">
        <v>1587</v>
      </c>
      <c r="F81" s="431" t="s">
        <v>1000</v>
      </c>
      <c r="G81" s="427"/>
    </row>
    <row r="82" spans="1:7" ht="48">
      <c r="A82" s="90" t="s">
        <v>102</v>
      </c>
      <c r="B82" s="463" t="s">
        <v>921</v>
      </c>
      <c r="C82" s="997"/>
      <c r="D82" s="431" t="s">
        <v>957</v>
      </c>
      <c r="E82" s="431" t="s">
        <v>1587</v>
      </c>
      <c r="F82" s="431" t="s">
        <v>1000</v>
      </c>
      <c r="G82" s="427"/>
    </row>
    <row r="83" spans="1:7" ht="28.5">
      <c r="A83" s="745" t="s">
        <v>103</v>
      </c>
      <c r="B83" s="469" t="s">
        <v>1547</v>
      </c>
      <c r="C83" s="997"/>
      <c r="D83" s="431"/>
      <c r="E83" s="431"/>
      <c r="F83" s="431"/>
      <c r="G83" s="427"/>
    </row>
    <row r="84" spans="1:7" s="433" customFormat="1" ht="42.75">
      <c r="A84" s="745" t="s">
        <v>893</v>
      </c>
      <c r="B84" s="469" t="s">
        <v>958</v>
      </c>
      <c r="C84" s="1000" t="s">
        <v>728</v>
      </c>
      <c r="D84" s="1001"/>
      <c r="E84" s="1001"/>
      <c r="F84" s="1001"/>
      <c r="G84" s="432"/>
    </row>
    <row r="85" spans="1:7" s="433" customFormat="1" ht="28.5">
      <c r="A85" s="745" t="s">
        <v>1158</v>
      </c>
      <c r="B85" s="469" t="s">
        <v>959</v>
      </c>
      <c r="C85" s="1000" t="s">
        <v>960</v>
      </c>
      <c r="D85" s="1001"/>
      <c r="E85" s="1001"/>
      <c r="F85" s="1001"/>
      <c r="G85" s="432"/>
    </row>
    <row r="86" spans="1:7" s="433" customFormat="1" ht="57">
      <c r="A86" s="745" t="s">
        <v>1172</v>
      </c>
      <c r="B86" s="469" t="s">
        <v>750</v>
      </c>
      <c r="C86" s="1000"/>
      <c r="D86" s="1001"/>
      <c r="E86" s="1001"/>
      <c r="F86" s="1001"/>
      <c r="G86" s="432"/>
    </row>
    <row r="87" spans="1:7" s="433" customFormat="1" ht="14.25">
      <c r="A87" s="745" t="s">
        <v>1272</v>
      </c>
      <c r="B87" s="469" t="s">
        <v>1548</v>
      </c>
      <c r="C87" s="1000"/>
      <c r="D87" s="1001"/>
      <c r="E87" s="1001"/>
      <c r="F87" s="1001"/>
      <c r="G87" s="432"/>
    </row>
    <row r="88" spans="1:7" ht="14.25">
      <c r="A88" s="90"/>
      <c r="B88" s="463"/>
      <c r="C88" s="997"/>
      <c r="D88" s="431"/>
      <c r="E88" s="431"/>
      <c r="F88" s="431"/>
      <c r="G88" s="427"/>
    </row>
    <row r="89" spans="1:7" ht="14.25">
      <c r="A89" s="414" t="s">
        <v>316</v>
      </c>
      <c r="B89" s="469" t="s">
        <v>572</v>
      </c>
      <c r="C89" s="997"/>
      <c r="D89" s="431"/>
      <c r="E89" s="431"/>
      <c r="F89" s="431"/>
      <c r="G89" s="427"/>
    </row>
    <row r="90" spans="1:7" ht="24">
      <c r="A90" s="90" t="s">
        <v>43</v>
      </c>
      <c r="B90" s="463" t="s">
        <v>680</v>
      </c>
      <c r="C90" s="997"/>
      <c r="D90" s="431" t="s">
        <v>111</v>
      </c>
      <c r="E90" s="431" t="s">
        <v>996</v>
      </c>
      <c r="F90" s="431"/>
      <c r="G90" s="427"/>
    </row>
    <row r="91" spans="1:7" ht="48">
      <c r="A91" s="90" t="s">
        <v>44</v>
      </c>
      <c r="B91" s="463" t="s">
        <v>573</v>
      </c>
      <c r="C91" s="997"/>
      <c r="D91" s="431" t="s">
        <v>957</v>
      </c>
      <c r="E91" s="431" t="s">
        <v>1586</v>
      </c>
      <c r="F91" s="431" t="s">
        <v>981</v>
      </c>
      <c r="G91" s="427"/>
    </row>
    <row r="92" spans="1:7" ht="48">
      <c r="A92" s="90" t="s">
        <v>45</v>
      </c>
      <c r="B92" s="463" t="s">
        <v>574</v>
      </c>
      <c r="C92" s="997"/>
      <c r="D92" s="431" t="s">
        <v>957</v>
      </c>
      <c r="E92" s="431" t="s">
        <v>1586</v>
      </c>
      <c r="F92" s="431" t="s">
        <v>1008</v>
      </c>
      <c r="G92" s="427"/>
    </row>
    <row r="93" spans="1:7" ht="14.25">
      <c r="A93" s="90"/>
      <c r="B93" s="463"/>
      <c r="C93" s="997"/>
      <c r="D93" s="431"/>
      <c r="E93" s="431"/>
      <c r="F93" s="431"/>
      <c r="G93" s="427"/>
    </row>
    <row r="94" spans="1:7" ht="14.25">
      <c r="A94" s="745" t="s">
        <v>1510</v>
      </c>
      <c r="B94" s="469" t="s">
        <v>1549</v>
      </c>
      <c r="C94" s="997"/>
      <c r="D94" s="431"/>
      <c r="E94" s="431"/>
      <c r="F94" s="431"/>
      <c r="G94" s="427"/>
    </row>
    <row r="95" spans="1:7" ht="24">
      <c r="A95" s="90" t="s">
        <v>43</v>
      </c>
      <c r="B95" s="463" t="s">
        <v>1550</v>
      </c>
      <c r="C95" s="997"/>
      <c r="D95" s="431" t="s">
        <v>1551</v>
      </c>
      <c r="E95" s="431" t="s">
        <v>1552</v>
      </c>
      <c r="F95" s="431" t="s">
        <v>1553</v>
      </c>
      <c r="G95" s="427"/>
    </row>
    <row r="96" spans="1:7" ht="48">
      <c r="A96" s="90" t="s">
        <v>44</v>
      </c>
      <c r="B96" s="463" t="s">
        <v>1588</v>
      </c>
      <c r="C96" s="997"/>
      <c r="D96" s="431"/>
      <c r="E96" s="431" t="s">
        <v>1626</v>
      </c>
      <c r="F96" s="431" t="s">
        <v>1627</v>
      </c>
      <c r="G96" s="427"/>
    </row>
    <row r="97" spans="1:7" ht="48">
      <c r="A97" s="90" t="s">
        <v>45</v>
      </c>
      <c r="B97" s="463" t="s">
        <v>1554</v>
      </c>
      <c r="C97" s="997"/>
      <c r="D97" s="431" t="s">
        <v>1555</v>
      </c>
      <c r="E97" s="431" t="s">
        <v>1625</v>
      </c>
      <c r="F97" s="431" t="s">
        <v>1627</v>
      </c>
      <c r="G97" s="427"/>
    </row>
    <row r="98" spans="1:7" ht="14.25">
      <c r="A98" s="90" t="s">
        <v>46</v>
      </c>
      <c r="B98" s="463" t="s">
        <v>1556</v>
      </c>
      <c r="C98" s="997"/>
      <c r="D98" s="431"/>
      <c r="E98" s="431"/>
      <c r="F98" s="431"/>
      <c r="G98" s="427"/>
    </row>
    <row r="99" spans="1:7" ht="14.25">
      <c r="A99" s="90"/>
      <c r="B99" s="463"/>
      <c r="C99" s="997"/>
      <c r="D99" s="431"/>
      <c r="E99" s="431"/>
      <c r="F99" s="431"/>
      <c r="G99" s="427"/>
    </row>
    <row r="100" spans="1:7" ht="14.25">
      <c r="A100" s="414" t="s">
        <v>52</v>
      </c>
      <c r="B100" s="469" t="s">
        <v>575</v>
      </c>
      <c r="C100" s="997"/>
      <c r="D100" s="431"/>
      <c r="E100" s="431"/>
      <c r="F100" s="431"/>
      <c r="G100" s="427"/>
    </row>
    <row r="101" spans="1:7" ht="48">
      <c r="A101" s="90" t="s">
        <v>110</v>
      </c>
      <c r="B101" s="463" t="s">
        <v>576</v>
      </c>
      <c r="C101" s="997"/>
      <c r="D101" s="431" t="s">
        <v>956</v>
      </c>
      <c r="E101" s="431" t="s">
        <v>1593</v>
      </c>
      <c r="F101" s="431" t="s">
        <v>928</v>
      </c>
      <c r="G101" s="427"/>
    </row>
    <row r="102" spans="1:7" ht="36">
      <c r="A102" s="90" t="s">
        <v>113</v>
      </c>
      <c r="B102" s="463" t="s">
        <v>577</v>
      </c>
      <c r="C102" s="997"/>
      <c r="D102" s="431" t="s">
        <v>956</v>
      </c>
      <c r="E102" s="431" t="s">
        <v>1020</v>
      </c>
      <c r="F102" s="431" t="s">
        <v>982</v>
      </c>
      <c r="G102" s="427"/>
    </row>
    <row r="103" spans="1:7" ht="14.25">
      <c r="A103" s="90" t="s">
        <v>119</v>
      </c>
      <c r="B103" s="469" t="s">
        <v>705</v>
      </c>
      <c r="C103" s="997"/>
      <c r="D103" s="431"/>
      <c r="E103" s="431"/>
      <c r="F103" s="431"/>
      <c r="G103" s="427"/>
    </row>
    <row r="104" spans="1:7" ht="14.25">
      <c r="A104" s="414" t="s">
        <v>259</v>
      </c>
      <c r="B104" s="469" t="s">
        <v>578</v>
      </c>
      <c r="C104" s="997"/>
      <c r="D104" s="431"/>
      <c r="E104" s="431"/>
      <c r="F104" s="431"/>
      <c r="G104" s="427"/>
    </row>
    <row r="105" spans="1:7" ht="14.25">
      <c r="A105" s="414" t="s">
        <v>703</v>
      </c>
      <c r="B105" s="469" t="s">
        <v>579</v>
      </c>
      <c r="C105" s="997"/>
      <c r="D105" s="431"/>
      <c r="E105" s="431"/>
      <c r="F105" s="431"/>
      <c r="G105" s="427"/>
    </row>
    <row r="106" spans="1:7" ht="14.25">
      <c r="A106" s="90"/>
      <c r="B106" s="463"/>
      <c r="C106" s="997"/>
      <c r="D106" s="431"/>
      <c r="E106" s="431"/>
      <c r="F106" s="431"/>
      <c r="G106" s="427"/>
    </row>
    <row r="107" spans="1:7" ht="14.25">
      <c r="A107" s="414" t="s">
        <v>36</v>
      </c>
      <c r="B107" s="469" t="s">
        <v>580</v>
      </c>
      <c r="C107" s="997"/>
      <c r="D107" s="431"/>
      <c r="E107" s="431"/>
      <c r="F107" s="431"/>
      <c r="G107" s="427"/>
    </row>
    <row r="108" spans="1:7" ht="72">
      <c r="A108" s="414" t="s">
        <v>743</v>
      </c>
      <c r="B108" s="469" t="s">
        <v>744</v>
      </c>
      <c r="C108" s="997"/>
      <c r="D108" s="431"/>
      <c r="E108" s="431"/>
      <c r="F108" s="431"/>
      <c r="G108" s="427"/>
    </row>
    <row r="109" spans="1:7" ht="28.5">
      <c r="A109" s="90" t="s">
        <v>43</v>
      </c>
      <c r="B109" s="463" t="s">
        <v>919</v>
      </c>
      <c r="C109" s="997"/>
      <c r="D109" s="431" t="s">
        <v>111</v>
      </c>
      <c r="E109" s="431" t="s">
        <v>1001</v>
      </c>
      <c r="F109" s="1002"/>
      <c r="G109" s="427"/>
    </row>
    <row r="110" spans="1:7" ht="120">
      <c r="A110" s="90" t="s">
        <v>44</v>
      </c>
      <c r="B110" s="463" t="s">
        <v>681</v>
      </c>
      <c r="C110" s="1003" t="s">
        <v>1534</v>
      </c>
      <c r="D110" s="431" t="s">
        <v>925</v>
      </c>
      <c r="E110" s="431" t="s">
        <v>1265</v>
      </c>
      <c r="F110" s="431" t="s">
        <v>1002</v>
      </c>
      <c r="G110" s="427"/>
    </row>
    <row r="111" spans="1:7" ht="120">
      <c r="A111" s="90" t="s">
        <v>45</v>
      </c>
      <c r="B111" s="463" t="s">
        <v>682</v>
      </c>
      <c r="C111" s="1004"/>
      <c r="D111" s="431" t="s">
        <v>925</v>
      </c>
      <c r="E111" s="431" t="s">
        <v>1265</v>
      </c>
      <c r="F111" s="431" t="s">
        <v>1002</v>
      </c>
      <c r="G111" s="427"/>
    </row>
    <row r="112" spans="1:7" ht="24">
      <c r="A112" s="90" t="s">
        <v>46</v>
      </c>
      <c r="B112" s="463" t="s">
        <v>581</v>
      </c>
      <c r="C112" s="997"/>
      <c r="D112" s="431" t="s">
        <v>927</v>
      </c>
      <c r="E112" s="431" t="s">
        <v>1021</v>
      </c>
      <c r="F112" s="431" t="s">
        <v>983</v>
      </c>
      <c r="G112" s="427"/>
    </row>
    <row r="113" spans="1:7" ht="48">
      <c r="A113" s="90" t="s">
        <v>47</v>
      </c>
      <c r="B113" s="463" t="s">
        <v>1129</v>
      </c>
      <c r="C113" s="997"/>
      <c r="D113" s="431" t="s">
        <v>927</v>
      </c>
      <c r="E113" s="431" t="s">
        <v>1130</v>
      </c>
      <c r="F113" s="431" t="s">
        <v>1002</v>
      </c>
      <c r="G113" s="427"/>
    </row>
    <row r="114" spans="1:7" ht="24">
      <c r="A114" s="90" t="s">
        <v>48</v>
      </c>
      <c r="B114" s="463" t="s">
        <v>582</v>
      </c>
      <c r="C114" s="997"/>
      <c r="D114" s="431" t="s">
        <v>929</v>
      </c>
      <c r="E114" s="431" t="s">
        <v>1582</v>
      </c>
      <c r="F114" s="431" t="s">
        <v>984</v>
      </c>
      <c r="G114" s="427"/>
    </row>
    <row r="115" spans="1:7" ht="24">
      <c r="A115" s="90" t="s">
        <v>49</v>
      </c>
      <c r="B115" s="463" t="s">
        <v>683</v>
      </c>
      <c r="C115" s="997"/>
      <c r="D115" s="431" t="s">
        <v>929</v>
      </c>
      <c r="E115" s="431" t="s">
        <v>1035</v>
      </c>
      <c r="F115" s="431" t="s">
        <v>1003</v>
      </c>
      <c r="G115" s="427"/>
    </row>
    <row r="116" spans="1:7" ht="14.25">
      <c r="A116" s="414" t="s">
        <v>50</v>
      </c>
      <c r="B116" s="469" t="s">
        <v>583</v>
      </c>
      <c r="C116" s="997"/>
      <c r="D116" s="431"/>
      <c r="E116" s="431"/>
      <c r="F116" s="431"/>
      <c r="G116" s="427"/>
    </row>
    <row r="117" spans="1:7" ht="14.25">
      <c r="A117" s="414" t="s">
        <v>101</v>
      </c>
      <c r="B117" s="469" t="s">
        <v>584</v>
      </c>
      <c r="C117" s="997"/>
      <c r="D117" s="431"/>
      <c r="E117" s="431"/>
      <c r="F117" s="431"/>
      <c r="G117" s="427"/>
    </row>
    <row r="118" spans="1:7" ht="14.25">
      <c r="A118" s="414" t="s">
        <v>102</v>
      </c>
      <c r="B118" s="469" t="s">
        <v>585</v>
      </c>
      <c r="C118" s="997"/>
      <c r="D118" s="431"/>
      <c r="E118" s="431"/>
      <c r="F118" s="431"/>
      <c r="G118" s="427"/>
    </row>
    <row r="119" spans="1:7" ht="14.25">
      <c r="A119" s="90"/>
      <c r="B119" s="463"/>
      <c r="C119" s="997"/>
      <c r="D119" s="431"/>
      <c r="E119" s="431"/>
      <c r="F119" s="431"/>
      <c r="G119" s="427"/>
    </row>
    <row r="120" spans="1:7" ht="14.25">
      <c r="A120" s="414" t="s">
        <v>745</v>
      </c>
      <c r="B120" s="469" t="s">
        <v>586</v>
      </c>
      <c r="C120" s="997"/>
      <c r="D120" s="431"/>
      <c r="E120" s="431"/>
      <c r="F120" s="431"/>
      <c r="G120" s="427"/>
    </row>
    <row r="121" spans="1:7" ht="28.5">
      <c r="A121" s="90" t="s">
        <v>43</v>
      </c>
      <c r="B121" s="463" t="s">
        <v>919</v>
      </c>
      <c r="C121" s="997"/>
      <c r="D121" s="431" t="s">
        <v>926</v>
      </c>
      <c r="E121" s="431" t="s">
        <v>1001</v>
      </c>
      <c r="F121" s="431"/>
      <c r="G121" s="427"/>
    </row>
    <row r="122" spans="1:7" ht="111" customHeight="1">
      <c r="A122" s="90" t="s">
        <v>44</v>
      </c>
      <c r="B122" s="463" t="s">
        <v>587</v>
      </c>
      <c r="C122" s="997"/>
      <c r="D122" s="431" t="s">
        <v>925</v>
      </c>
      <c r="E122" s="431" t="s">
        <v>1265</v>
      </c>
      <c r="F122" s="431" t="s">
        <v>1002</v>
      </c>
      <c r="G122" s="427"/>
    </row>
    <row r="123" spans="1:7" ht="24">
      <c r="A123" s="90" t="s">
        <v>45</v>
      </c>
      <c r="B123" s="463" t="s">
        <v>930</v>
      </c>
      <c r="C123" s="997"/>
      <c r="D123" s="431" t="s">
        <v>927</v>
      </c>
      <c r="E123" s="431" t="s">
        <v>1021</v>
      </c>
      <c r="F123" s="431" t="s">
        <v>983</v>
      </c>
      <c r="G123" s="427"/>
    </row>
    <row r="124" spans="1:7" ht="48">
      <c r="A124" s="90" t="s">
        <v>46</v>
      </c>
      <c r="B124" s="463" t="s">
        <v>1129</v>
      </c>
      <c r="C124" s="997"/>
      <c r="D124" s="431" t="s">
        <v>927</v>
      </c>
      <c r="E124" s="431" t="s">
        <v>1130</v>
      </c>
      <c r="F124" s="431" t="s">
        <v>1002</v>
      </c>
      <c r="G124" s="427"/>
    </row>
    <row r="125" spans="1:7" ht="24">
      <c r="A125" s="90" t="s">
        <v>47</v>
      </c>
      <c r="B125" s="463" t="s">
        <v>684</v>
      </c>
      <c r="C125" s="997"/>
      <c r="D125" s="431" t="s">
        <v>929</v>
      </c>
      <c r="E125" s="431" t="s">
        <v>1036</v>
      </c>
      <c r="F125" s="431" t="s">
        <v>984</v>
      </c>
      <c r="G125" s="427"/>
    </row>
    <row r="126" spans="1:7" ht="24">
      <c r="A126" s="90" t="s">
        <v>48</v>
      </c>
      <c r="B126" s="463" t="s">
        <v>685</v>
      </c>
      <c r="C126" s="997"/>
      <c r="D126" s="431" t="s">
        <v>929</v>
      </c>
      <c r="E126" s="431" t="s">
        <v>1035</v>
      </c>
      <c r="F126" s="431" t="s">
        <v>1003</v>
      </c>
      <c r="G126" s="427"/>
    </row>
    <row r="127" spans="1:7" ht="28.5">
      <c r="A127" s="745" t="s">
        <v>49</v>
      </c>
      <c r="B127" s="469" t="s">
        <v>588</v>
      </c>
      <c r="C127" s="997"/>
      <c r="D127" s="431"/>
      <c r="E127" s="431"/>
      <c r="F127" s="431"/>
      <c r="G127" s="427"/>
    </row>
    <row r="128" spans="1:7" ht="14.25">
      <c r="A128" s="746" t="s">
        <v>50</v>
      </c>
      <c r="B128" s="469" t="s">
        <v>584</v>
      </c>
      <c r="C128" s="997"/>
      <c r="D128" s="431"/>
      <c r="E128" s="431"/>
      <c r="F128" s="431"/>
      <c r="G128" s="427"/>
    </row>
    <row r="129" spans="1:7" ht="14.25">
      <c r="A129" s="434" t="s">
        <v>101</v>
      </c>
      <c r="B129" s="469" t="s">
        <v>585</v>
      </c>
      <c r="C129" s="997"/>
      <c r="D129" s="431"/>
      <c r="E129" s="431"/>
      <c r="F129" s="431"/>
      <c r="G129" s="427"/>
    </row>
    <row r="130" spans="1:7" ht="14.25">
      <c r="A130" s="90"/>
      <c r="B130" s="463"/>
      <c r="C130" s="997"/>
      <c r="D130" s="431"/>
      <c r="E130" s="431"/>
      <c r="F130" s="431"/>
      <c r="G130" s="427"/>
    </row>
    <row r="131" spans="1:7" ht="28.5">
      <c r="A131" s="414" t="s">
        <v>740</v>
      </c>
      <c r="B131" s="469" t="s">
        <v>589</v>
      </c>
      <c r="C131" s="997"/>
      <c r="D131" s="431"/>
      <c r="E131" s="431"/>
      <c r="F131" s="431"/>
      <c r="G131" s="427"/>
    </row>
    <row r="132" spans="1:7" ht="28.5">
      <c r="A132" s="414" t="s">
        <v>741</v>
      </c>
      <c r="B132" s="469" t="s">
        <v>590</v>
      </c>
      <c r="C132" s="997"/>
      <c r="D132" s="431"/>
      <c r="E132" s="431"/>
      <c r="F132" s="431"/>
      <c r="G132" s="427"/>
    </row>
    <row r="133" spans="1:7" ht="14.25">
      <c r="A133" s="90"/>
      <c r="B133" s="463"/>
      <c r="C133" s="997"/>
      <c r="D133" s="431"/>
      <c r="E133" s="431"/>
      <c r="F133" s="431"/>
      <c r="G133" s="427"/>
    </row>
    <row r="134" spans="1:7" ht="14.25">
      <c r="A134" s="414" t="s">
        <v>38</v>
      </c>
      <c r="B134" s="469" t="s">
        <v>11</v>
      </c>
      <c r="C134" s="997"/>
      <c r="D134" s="431"/>
      <c r="E134" s="431"/>
      <c r="F134" s="431"/>
      <c r="G134" s="427"/>
    </row>
    <row r="135" spans="1:7" ht="14.25">
      <c r="A135" s="414" t="s">
        <v>39</v>
      </c>
      <c r="B135" s="469" t="s">
        <v>12</v>
      </c>
      <c r="C135" s="997"/>
      <c r="D135" s="431"/>
      <c r="E135" s="431"/>
      <c r="F135" s="431"/>
      <c r="G135" s="427"/>
    </row>
    <row r="136" spans="1:7" ht="28.5">
      <c r="A136" s="90" t="s">
        <v>43</v>
      </c>
      <c r="B136" s="463" t="s">
        <v>919</v>
      </c>
      <c r="C136" s="997"/>
      <c r="D136" s="431" t="s">
        <v>111</v>
      </c>
      <c r="E136" s="431" t="s">
        <v>1001</v>
      </c>
      <c r="F136" s="431"/>
      <c r="G136" s="427"/>
    </row>
    <row r="137" spans="1:7" ht="48">
      <c r="A137" s="90" t="s">
        <v>44</v>
      </c>
      <c r="B137" s="463" t="s">
        <v>591</v>
      </c>
      <c r="C137" s="997"/>
      <c r="D137" s="431" t="s">
        <v>965</v>
      </c>
      <c r="E137" s="431" t="s">
        <v>1591</v>
      </c>
      <c r="F137" s="431" t="s">
        <v>961</v>
      </c>
      <c r="G137" s="427"/>
    </row>
    <row r="138" spans="1:7" ht="24">
      <c r="A138" s="90" t="s">
        <v>45</v>
      </c>
      <c r="B138" s="463" t="s">
        <v>1594</v>
      </c>
      <c r="C138" s="997"/>
      <c r="D138" s="431" t="s">
        <v>965</v>
      </c>
      <c r="E138" s="431" t="s">
        <v>1021</v>
      </c>
      <c r="F138" s="431" t="s">
        <v>962</v>
      </c>
      <c r="G138" s="427"/>
    </row>
    <row r="139" spans="1:7" ht="48">
      <c r="A139" s="90" t="s">
        <v>46</v>
      </c>
      <c r="B139" s="463" t="s">
        <v>592</v>
      </c>
      <c r="C139" s="997"/>
      <c r="D139" s="431" t="s">
        <v>965</v>
      </c>
      <c r="E139" s="431" t="s">
        <v>1591</v>
      </c>
      <c r="F139" s="431" t="s">
        <v>961</v>
      </c>
      <c r="G139" s="427"/>
    </row>
    <row r="140" spans="1:7" ht="36">
      <c r="A140" s="90" t="s">
        <v>47</v>
      </c>
      <c r="B140" s="463" t="s">
        <v>1595</v>
      </c>
      <c r="C140" s="997"/>
      <c r="D140" s="431" t="s">
        <v>964</v>
      </c>
      <c r="E140" s="431" t="s">
        <v>1037</v>
      </c>
      <c r="F140" s="431" t="s">
        <v>963</v>
      </c>
      <c r="G140" s="427"/>
    </row>
    <row r="141" spans="1:7" ht="36">
      <c r="A141" s="90" t="s">
        <v>48</v>
      </c>
      <c r="B141" s="463" t="s">
        <v>1596</v>
      </c>
      <c r="C141" s="997"/>
      <c r="D141" s="431" t="s">
        <v>964</v>
      </c>
      <c r="E141" s="431" t="s">
        <v>1038</v>
      </c>
      <c r="F141" s="431" t="s">
        <v>963</v>
      </c>
      <c r="G141" s="427"/>
    </row>
    <row r="142" spans="1:7" ht="36">
      <c r="A142" s="90" t="s">
        <v>49</v>
      </c>
      <c r="B142" s="463" t="s">
        <v>1597</v>
      </c>
      <c r="C142" s="997"/>
      <c r="D142" s="431" t="s">
        <v>964</v>
      </c>
      <c r="E142" s="431" t="s">
        <v>1039</v>
      </c>
      <c r="F142" s="431" t="s">
        <v>963</v>
      </c>
      <c r="G142" s="427"/>
    </row>
    <row r="143" spans="1:7" ht="28.5">
      <c r="A143" s="414" t="s">
        <v>50</v>
      </c>
      <c r="B143" s="469" t="s">
        <v>593</v>
      </c>
      <c r="C143" s="997"/>
      <c r="D143" s="431"/>
      <c r="E143" s="431"/>
      <c r="F143" s="431"/>
      <c r="G143" s="427"/>
    </row>
    <row r="144" spans="1:7" ht="14.25">
      <c r="A144" s="414" t="s">
        <v>101</v>
      </c>
      <c r="B144" s="469" t="s">
        <v>594</v>
      </c>
      <c r="C144" s="997"/>
      <c r="D144" s="431"/>
      <c r="E144" s="431"/>
      <c r="F144" s="431"/>
      <c r="G144" s="427"/>
    </row>
    <row r="145" spans="1:7" ht="14.25">
      <c r="A145" s="414" t="s">
        <v>102</v>
      </c>
      <c r="B145" s="469" t="s">
        <v>595</v>
      </c>
      <c r="C145" s="997"/>
      <c r="D145" s="431"/>
      <c r="E145" s="431"/>
      <c r="F145" s="431"/>
      <c r="G145" s="427"/>
    </row>
    <row r="146" spans="1:7" ht="14.25">
      <c r="A146" s="414" t="s">
        <v>103</v>
      </c>
      <c r="B146" s="469" t="s">
        <v>596</v>
      </c>
      <c r="C146" s="997"/>
      <c r="D146" s="431"/>
      <c r="E146" s="431"/>
      <c r="F146" s="431"/>
      <c r="G146" s="427"/>
    </row>
    <row r="147" spans="1:7" ht="14.25">
      <c r="A147" s="90"/>
      <c r="B147" s="463"/>
      <c r="C147" s="997"/>
      <c r="D147" s="431"/>
      <c r="E147" s="431"/>
      <c r="F147" s="431"/>
      <c r="G147" s="427"/>
    </row>
    <row r="148" spans="1:7" ht="14.25">
      <c r="A148" s="414" t="s">
        <v>597</v>
      </c>
      <c r="B148" s="469" t="s">
        <v>598</v>
      </c>
      <c r="C148" s="997"/>
      <c r="D148" s="431"/>
      <c r="E148" s="431"/>
      <c r="F148" s="431"/>
      <c r="G148" s="427"/>
    </row>
    <row r="149" spans="1:7" ht="28.5">
      <c r="A149" s="90" t="s">
        <v>43</v>
      </c>
      <c r="B149" s="463" t="s">
        <v>919</v>
      </c>
      <c r="C149" s="997"/>
      <c r="D149" s="431" t="s">
        <v>111</v>
      </c>
      <c r="E149" s="431" t="s">
        <v>1001</v>
      </c>
      <c r="F149" s="431"/>
      <c r="G149" s="427"/>
    </row>
    <row r="150" spans="1:7" ht="48">
      <c r="A150" s="90" t="s">
        <v>44</v>
      </c>
      <c r="B150" s="463" t="s">
        <v>599</v>
      </c>
      <c r="C150" s="997"/>
      <c r="D150" s="431" t="s">
        <v>965</v>
      </c>
      <c r="E150" s="431" t="s">
        <v>1591</v>
      </c>
      <c r="F150" s="431" t="s">
        <v>961</v>
      </c>
      <c r="G150" s="427"/>
    </row>
    <row r="151" spans="1:7" ht="24">
      <c r="A151" s="90" t="s">
        <v>45</v>
      </c>
      <c r="B151" s="463" t="s">
        <v>600</v>
      </c>
      <c r="C151" s="997"/>
      <c r="D151" s="431" t="s">
        <v>965</v>
      </c>
      <c r="E151" s="431" t="s">
        <v>1021</v>
      </c>
      <c r="F151" s="431" t="s">
        <v>962</v>
      </c>
      <c r="G151" s="427"/>
    </row>
    <row r="152" spans="1:7" ht="36">
      <c r="A152" s="90" t="s">
        <v>46</v>
      </c>
      <c r="B152" s="463" t="s">
        <v>686</v>
      </c>
      <c r="C152" s="997"/>
      <c r="D152" s="431" t="s">
        <v>964</v>
      </c>
      <c r="E152" s="431" t="s">
        <v>1037</v>
      </c>
      <c r="F152" s="431" t="s">
        <v>963</v>
      </c>
      <c r="G152" s="427"/>
    </row>
    <row r="153" spans="1:7" ht="36">
      <c r="A153" s="90" t="s">
        <v>47</v>
      </c>
      <c r="B153" s="463" t="s">
        <v>687</v>
      </c>
      <c r="C153" s="997"/>
      <c r="D153" s="431" t="s">
        <v>964</v>
      </c>
      <c r="E153" s="431" t="s">
        <v>1038</v>
      </c>
      <c r="F153" s="431" t="s">
        <v>963</v>
      </c>
      <c r="G153" s="427"/>
    </row>
    <row r="154" spans="1:7" ht="36">
      <c r="A154" s="90" t="s">
        <v>48</v>
      </c>
      <c r="B154" s="463" t="s">
        <v>688</v>
      </c>
      <c r="C154" s="997"/>
      <c r="D154" s="431" t="s">
        <v>964</v>
      </c>
      <c r="E154" s="431" t="s">
        <v>1039</v>
      </c>
      <c r="F154" s="431" t="s">
        <v>963</v>
      </c>
      <c r="G154" s="427"/>
    </row>
    <row r="155" spans="1:7" ht="14.25">
      <c r="A155" s="414" t="s">
        <v>49</v>
      </c>
      <c r="B155" s="469" t="s">
        <v>601</v>
      </c>
      <c r="C155" s="997"/>
      <c r="D155" s="431"/>
      <c r="E155" s="431"/>
      <c r="F155" s="431"/>
      <c r="G155" s="427"/>
    </row>
    <row r="156" spans="1:7" ht="14.25">
      <c r="A156" s="414" t="s">
        <v>50</v>
      </c>
      <c r="B156" s="469" t="s">
        <v>602</v>
      </c>
      <c r="C156" s="997"/>
      <c r="D156" s="431"/>
      <c r="E156" s="431"/>
      <c r="F156" s="431"/>
      <c r="G156" s="427"/>
    </row>
    <row r="157" spans="1:7" ht="14.25">
      <c r="A157" s="414" t="s">
        <v>101</v>
      </c>
      <c r="B157" s="469" t="s">
        <v>603</v>
      </c>
      <c r="C157" s="997"/>
      <c r="D157" s="431"/>
      <c r="E157" s="431"/>
      <c r="F157" s="431"/>
      <c r="G157" s="427"/>
    </row>
    <row r="158" spans="1:7" ht="14.25">
      <c r="A158" s="414" t="s">
        <v>102</v>
      </c>
      <c r="B158" s="469" t="s">
        <v>604</v>
      </c>
      <c r="C158" s="997"/>
      <c r="D158" s="431"/>
      <c r="E158" s="431"/>
      <c r="F158" s="431"/>
      <c r="G158" s="427"/>
    </row>
    <row r="159" spans="1:7" ht="14.25">
      <c r="A159" s="90"/>
      <c r="B159" s="463"/>
      <c r="C159" s="997"/>
      <c r="D159" s="431"/>
      <c r="E159" s="431"/>
      <c r="F159" s="431"/>
      <c r="G159" s="427"/>
    </row>
    <row r="160" spans="1:7" ht="14.25">
      <c r="A160" s="414" t="s">
        <v>605</v>
      </c>
      <c r="B160" s="469" t="s">
        <v>606</v>
      </c>
      <c r="C160" s="997"/>
      <c r="D160" s="431"/>
      <c r="E160" s="431"/>
      <c r="F160" s="431"/>
      <c r="G160" s="427"/>
    </row>
    <row r="161" spans="1:7" ht="28.5">
      <c r="A161" s="90" t="s">
        <v>43</v>
      </c>
      <c r="B161" s="463" t="s">
        <v>919</v>
      </c>
      <c r="C161" s="997"/>
      <c r="D161" s="431" t="s">
        <v>111</v>
      </c>
      <c r="E161" s="431" t="s">
        <v>1001</v>
      </c>
      <c r="F161" s="431"/>
      <c r="G161" s="427"/>
    </row>
    <row r="162" spans="1:7" ht="48">
      <c r="A162" s="90" t="s">
        <v>44</v>
      </c>
      <c r="B162" s="463" t="s">
        <v>607</v>
      </c>
      <c r="C162" s="997"/>
      <c r="D162" s="431" t="s">
        <v>965</v>
      </c>
      <c r="E162" s="431" t="s">
        <v>1591</v>
      </c>
      <c r="F162" s="431" t="s">
        <v>961</v>
      </c>
      <c r="G162" s="427"/>
    </row>
    <row r="163" spans="1:7" ht="24">
      <c r="A163" s="90" t="s">
        <v>45</v>
      </c>
      <c r="B163" s="463" t="s">
        <v>1598</v>
      </c>
      <c r="C163" s="997"/>
      <c r="D163" s="431" t="s">
        <v>965</v>
      </c>
      <c r="E163" s="431" t="s">
        <v>1021</v>
      </c>
      <c r="F163" s="431" t="s">
        <v>962</v>
      </c>
      <c r="G163" s="427"/>
    </row>
    <row r="164" spans="1:7" ht="48">
      <c r="A164" s="90" t="s">
        <v>46</v>
      </c>
      <c r="B164" s="463" t="s">
        <v>608</v>
      </c>
      <c r="C164" s="997"/>
      <c r="D164" s="431" t="s">
        <v>965</v>
      </c>
      <c r="E164" s="431" t="s">
        <v>1591</v>
      </c>
      <c r="F164" s="431" t="s">
        <v>961</v>
      </c>
      <c r="G164" s="427"/>
    </row>
    <row r="165" spans="1:7" ht="36">
      <c r="A165" s="90" t="s">
        <v>47</v>
      </c>
      <c r="B165" s="463" t="s">
        <v>1599</v>
      </c>
      <c r="C165" s="997"/>
      <c r="D165" s="431" t="s">
        <v>964</v>
      </c>
      <c r="E165" s="431" t="s">
        <v>1037</v>
      </c>
      <c r="F165" s="431" t="s">
        <v>963</v>
      </c>
      <c r="G165" s="427"/>
    </row>
    <row r="166" spans="1:7" ht="36">
      <c r="A166" s="90" t="s">
        <v>48</v>
      </c>
      <c r="B166" s="463" t="s">
        <v>1600</v>
      </c>
      <c r="C166" s="997"/>
      <c r="D166" s="431" t="s">
        <v>964</v>
      </c>
      <c r="E166" s="431" t="s">
        <v>1038</v>
      </c>
      <c r="F166" s="431" t="s">
        <v>963</v>
      </c>
      <c r="G166" s="427"/>
    </row>
    <row r="167" spans="1:7" ht="36">
      <c r="A167" s="414" t="s">
        <v>49</v>
      </c>
      <c r="B167" s="463" t="s">
        <v>1601</v>
      </c>
      <c r="C167" s="997"/>
      <c r="D167" s="431" t="s">
        <v>964</v>
      </c>
      <c r="E167" s="431" t="s">
        <v>1009</v>
      </c>
      <c r="F167" s="431"/>
      <c r="G167" s="427"/>
    </row>
    <row r="168" spans="1:7" ht="36">
      <c r="A168" s="414" t="s">
        <v>50</v>
      </c>
      <c r="B168" s="463" t="s">
        <v>1602</v>
      </c>
      <c r="C168" s="997"/>
      <c r="D168" s="431" t="s">
        <v>964</v>
      </c>
      <c r="E168" s="431" t="s">
        <v>1039</v>
      </c>
      <c r="F168" s="431" t="s">
        <v>963</v>
      </c>
      <c r="G168" s="427"/>
    </row>
    <row r="169" spans="1:7" ht="28.5">
      <c r="A169" s="414" t="s">
        <v>101</v>
      </c>
      <c r="B169" s="469" t="s">
        <v>609</v>
      </c>
      <c r="C169" s="997"/>
      <c r="D169" s="431"/>
      <c r="E169" s="431"/>
      <c r="F169" s="431"/>
      <c r="G169" s="427"/>
    </row>
    <row r="170" spans="1:7" ht="14.25">
      <c r="A170" s="414" t="s">
        <v>102</v>
      </c>
      <c r="B170" s="469" t="s">
        <v>610</v>
      </c>
      <c r="C170" s="997"/>
      <c r="D170" s="431"/>
      <c r="E170" s="431"/>
      <c r="F170" s="431"/>
      <c r="G170" s="427"/>
    </row>
    <row r="171" spans="1:7" ht="28.5">
      <c r="A171" s="745" t="s">
        <v>103</v>
      </c>
      <c r="B171" s="469" t="s">
        <v>1558</v>
      </c>
      <c r="C171" s="997"/>
      <c r="D171" s="431"/>
      <c r="E171" s="431"/>
      <c r="F171" s="431"/>
      <c r="G171" s="427"/>
    </row>
    <row r="172" spans="1:7" ht="14.25">
      <c r="A172" s="745" t="s">
        <v>893</v>
      </c>
      <c r="B172" s="469" t="s">
        <v>611</v>
      </c>
      <c r="C172" s="997"/>
      <c r="D172" s="431"/>
      <c r="E172" s="431"/>
      <c r="F172" s="431"/>
      <c r="G172" s="427"/>
    </row>
    <row r="173" spans="1:7" ht="14.25">
      <c r="A173" s="414" t="s">
        <v>1158</v>
      </c>
      <c r="B173" s="469" t="s">
        <v>612</v>
      </c>
      <c r="C173" s="997"/>
      <c r="D173" s="431"/>
      <c r="E173" s="431"/>
      <c r="F173" s="431"/>
      <c r="G173" s="427"/>
    </row>
    <row r="174" spans="1:7" ht="14.25">
      <c r="A174" s="90"/>
      <c r="B174" s="463"/>
      <c r="C174" s="997"/>
      <c r="D174" s="431"/>
      <c r="E174" s="431"/>
      <c r="F174" s="431"/>
      <c r="G174" s="427"/>
    </row>
    <row r="175" spans="1:7" ht="14.25">
      <c r="A175" s="414" t="s">
        <v>223</v>
      </c>
      <c r="B175" s="469" t="s">
        <v>613</v>
      </c>
      <c r="C175" s="997"/>
      <c r="D175" s="431"/>
      <c r="E175" s="431"/>
      <c r="F175" s="431"/>
      <c r="G175" s="427"/>
    </row>
    <row r="176" spans="1:7" ht="28.5">
      <c r="A176" s="90" t="s">
        <v>43</v>
      </c>
      <c r="B176" s="463" t="s">
        <v>919</v>
      </c>
      <c r="C176" s="997"/>
      <c r="D176" s="431" t="s">
        <v>111</v>
      </c>
      <c r="E176" s="431" t="s">
        <v>1001</v>
      </c>
      <c r="F176" s="431"/>
      <c r="G176" s="427"/>
    </row>
    <row r="177" spans="1:7" ht="48">
      <c r="A177" s="90" t="s">
        <v>44</v>
      </c>
      <c r="B177" s="463" t="s">
        <v>614</v>
      </c>
      <c r="C177" s="997"/>
      <c r="D177" s="431" t="s">
        <v>965</v>
      </c>
      <c r="E177" s="431" t="s">
        <v>1591</v>
      </c>
      <c r="F177" s="431" t="s">
        <v>961</v>
      </c>
      <c r="G177" s="427"/>
    </row>
    <row r="178" spans="1:7" ht="24">
      <c r="A178" s="90" t="s">
        <v>45</v>
      </c>
      <c r="B178" s="463" t="s">
        <v>1603</v>
      </c>
      <c r="C178" s="997"/>
      <c r="D178" s="431" t="s">
        <v>965</v>
      </c>
      <c r="E178" s="431" t="s">
        <v>1021</v>
      </c>
      <c r="F178" s="431" t="s">
        <v>962</v>
      </c>
      <c r="G178" s="427"/>
    </row>
    <row r="179" spans="1:7" ht="48">
      <c r="A179" s="90" t="s">
        <v>46</v>
      </c>
      <c r="B179" s="463" t="s">
        <v>615</v>
      </c>
      <c r="C179" s="997"/>
      <c r="D179" s="431" t="s">
        <v>965</v>
      </c>
      <c r="E179" s="431" t="s">
        <v>1591</v>
      </c>
      <c r="F179" s="431" t="s">
        <v>961</v>
      </c>
      <c r="G179" s="427"/>
    </row>
    <row r="180" spans="1:7" ht="36">
      <c r="A180" s="90" t="s">
        <v>47</v>
      </c>
      <c r="B180" s="463" t="s">
        <v>1604</v>
      </c>
      <c r="C180" s="997"/>
      <c r="D180" s="431" t="s">
        <v>964</v>
      </c>
      <c r="E180" s="431" t="s">
        <v>1037</v>
      </c>
      <c r="F180" s="431" t="s">
        <v>963</v>
      </c>
      <c r="G180" s="427"/>
    </row>
    <row r="181" spans="1:7" ht="36">
      <c r="A181" s="90" t="s">
        <v>48</v>
      </c>
      <c r="B181" s="463" t="s">
        <v>1605</v>
      </c>
      <c r="C181" s="997"/>
      <c r="D181" s="431" t="s">
        <v>964</v>
      </c>
      <c r="E181" s="431" t="s">
        <v>1038</v>
      </c>
      <c r="F181" s="431" t="s">
        <v>963</v>
      </c>
      <c r="G181" s="427"/>
    </row>
    <row r="182" spans="1:7" ht="36">
      <c r="A182" s="90" t="s">
        <v>49</v>
      </c>
      <c r="B182" s="463" t="s">
        <v>1606</v>
      </c>
      <c r="C182" s="997"/>
      <c r="D182" s="431" t="s">
        <v>964</v>
      </c>
      <c r="E182" s="431" t="s">
        <v>1039</v>
      </c>
      <c r="F182" s="431" t="s">
        <v>963</v>
      </c>
      <c r="G182" s="427"/>
    </row>
    <row r="183" spans="1:7" ht="28.5">
      <c r="A183" s="414" t="s">
        <v>50</v>
      </c>
      <c r="B183" s="469" t="s">
        <v>1611</v>
      </c>
      <c r="C183" s="997"/>
      <c r="D183" s="431"/>
      <c r="E183" s="431"/>
      <c r="F183" s="431"/>
      <c r="G183" s="427"/>
    </row>
    <row r="184" spans="1:7" ht="14.25">
      <c r="A184" s="414" t="s">
        <v>101</v>
      </c>
      <c r="B184" s="469" t="s">
        <v>616</v>
      </c>
      <c r="C184" s="997"/>
      <c r="D184" s="431"/>
      <c r="E184" s="431"/>
      <c r="F184" s="431"/>
      <c r="G184" s="427"/>
    </row>
    <row r="185" spans="1:7" ht="14.25">
      <c r="A185" s="414" t="s">
        <v>102</v>
      </c>
      <c r="B185" s="469" t="s">
        <v>617</v>
      </c>
      <c r="C185" s="997"/>
      <c r="D185" s="431"/>
      <c r="E185" s="431"/>
      <c r="F185" s="431"/>
      <c r="G185" s="427"/>
    </row>
    <row r="186" spans="1:7" ht="14.25">
      <c r="A186" s="414" t="s">
        <v>103</v>
      </c>
      <c r="B186" s="469" t="s">
        <v>618</v>
      </c>
      <c r="C186" s="997"/>
      <c r="D186" s="431"/>
      <c r="E186" s="431"/>
      <c r="F186" s="431"/>
      <c r="G186" s="427"/>
    </row>
    <row r="187" spans="1:7" ht="14.25">
      <c r="A187" s="90"/>
      <c r="B187" s="463"/>
      <c r="C187" s="997"/>
      <c r="D187" s="431"/>
      <c r="E187" s="431"/>
      <c r="F187" s="431"/>
      <c r="G187" s="427"/>
    </row>
    <row r="188" spans="1:7" ht="28.5">
      <c r="A188" s="414" t="s">
        <v>262</v>
      </c>
      <c r="B188" s="469" t="s">
        <v>619</v>
      </c>
      <c r="C188" s="997"/>
      <c r="D188" s="431"/>
      <c r="E188" s="431"/>
      <c r="F188" s="431"/>
      <c r="G188" s="427"/>
    </row>
    <row r="189" spans="1:7" ht="28.5">
      <c r="A189" s="414" t="s">
        <v>325</v>
      </c>
      <c r="B189" s="469" t="s">
        <v>620</v>
      </c>
      <c r="C189" s="997"/>
      <c r="D189" s="431"/>
      <c r="E189" s="431"/>
      <c r="F189" s="431"/>
      <c r="G189" s="427"/>
    </row>
    <row r="190" spans="1:7" ht="28.5">
      <c r="A190" s="414" t="s">
        <v>329</v>
      </c>
      <c r="B190" s="469" t="s">
        <v>621</v>
      </c>
      <c r="C190" s="997"/>
      <c r="D190" s="431"/>
      <c r="E190" s="431"/>
      <c r="F190" s="431"/>
      <c r="G190" s="427"/>
    </row>
    <row r="191" spans="1:7" ht="14.25">
      <c r="A191" s="90"/>
      <c r="B191" s="463"/>
      <c r="C191" s="997"/>
      <c r="D191" s="431"/>
      <c r="E191" s="431"/>
      <c r="F191" s="431"/>
      <c r="G191" s="427"/>
    </row>
    <row r="192" spans="1:7" ht="14.25">
      <c r="A192" s="414" t="s">
        <v>40</v>
      </c>
      <c r="B192" s="469" t="s">
        <v>622</v>
      </c>
      <c r="C192" s="997"/>
      <c r="D192" s="431"/>
      <c r="E192" s="431"/>
      <c r="F192" s="431"/>
      <c r="G192" s="427"/>
    </row>
    <row r="193" spans="1:7" ht="14.25">
      <c r="A193" s="414" t="s">
        <v>41</v>
      </c>
      <c r="B193" s="469" t="s">
        <v>756</v>
      </c>
      <c r="C193" s="997"/>
      <c r="D193" s="431"/>
      <c r="E193" s="431"/>
      <c r="F193" s="431"/>
      <c r="G193" s="427"/>
    </row>
    <row r="194" spans="1:7" ht="28.5">
      <c r="A194" s="90" t="s">
        <v>43</v>
      </c>
      <c r="B194" s="463" t="s">
        <v>919</v>
      </c>
      <c r="C194" s="997"/>
      <c r="D194" s="431" t="s">
        <v>111</v>
      </c>
      <c r="E194" s="431" t="s">
        <v>1001</v>
      </c>
      <c r="F194" s="431"/>
      <c r="G194" s="427"/>
    </row>
    <row r="195" spans="1:7" ht="36">
      <c r="A195" s="90" t="s">
        <v>44</v>
      </c>
      <c r="B195" s="463" t="s">
        <v>931</v>
      </c>
      <c r="C195" s="997"/>
      <c r="D195" s="431" t="s">
        <v>965</v>
      </c>
      <c r="E195" s="431" t="s">
        <v>1592</v>
      </c>
      <c r="F195" s="431"/>
      <c r="G195" s="427"/>
    </row>
    <row r="196" spans="1:7" ht="24">
      <c r="A196" s="90" t="s">
        <v>45</v>
      </c>
      <c r="B196" s="463" t="s">
        <v>932</v>
      </c>
      <c r="C196" s="997"/>
      <c r="D196" s="431" t="s">
        <v>967</v>
      </c>
      <c r="E196" s="431" t="s">
        <v>1021</v>
      </c>
      <c r="F196" s="431" t="s">
        <v>966</v>
      </c>
      <c r="G196" s="427"/>
    </row>
    <row r="197" spans="1:7" ht="36">
      <c r="A197" s="90" t="s">
        <v>46</v>
      </c>
      <c r="B197" s="463" t="s">
        <v>933</v>
      </c>
      <c r="C197" s="997"/>
      <c r="D197" s="431" t="s">
        <v>968</v>
      </c>
      <c r="E197" s="431" t="s">
        <v>1040</v>
      </c>
      <c r="F197" s="431" t="s">
        <v>966</v>
      </c>
      <c r="G197" s="427"/>
    </row>
    <row r="198" spans="1:7" ht="36">
      <c r="A198" s="90" t="s">
        <v>47</v>
      </c>
      <c r="B198" s="463" t="s">
        <v>934</v>
      </c>
      <c r="C198" s="997"/>
      <c r="D198" s="431" t="s">
        <v>964</v>
      </c>
      <c r="E198" s="431" t="s">
        <v>1009</v>
      </c>
      <c r="F198" s="431" t="s">
        <v>966</v>
      </c>
      <c r="G198" s="427"/>
    </row>
    <row r="199" spans="1:7" ht="36">
      <c r="A199" s="90" t="s">
        <v>48</v>
      </c>
      <c r="B199" s="463" t="s">
        <v>935</v>
      </c>
      <c r="C199" s="997"/>
      <c r="D199" s="431" t="s">
        <v>964</v>
      </c>
      <c r="E199" s="431" t="s">
        <v>1039</v>
      </c>
      <c r="F199" s="431" t="s">
        <v>966</v>
      </c>
      <c r="G199" s="427"/>
    </row>
    <row r="200" spans="1:7" ht="14.25">
      <c r="A200" s="414" t="s">
        <v>49</v>
      </c>
      <c r="B200" s="469" t="s">
        <v>936</v>
      </c>
      <c r="C200" s="997"/>
      <c r="D200" s="431"/>
      <c r="E200" s="431"/>
      <c r="F200" s="431"/>
      <c r="G200" s="427"/>
    </row>
    <row r="201" spans="1:7" ht="14.25">
      <c r="A201" s="414" t="s">
        <v>50</v>
      </c>
      <c r="B201" s="469" t="s">
        <v>937</v>
      </c>
      <c r="C201" s="997"/>
      <c r="D201" s="431"/>
      <c r="E201" s="431"/>
      <c r="F201" s="431"/>
      <c r="G201" s="427"/>
    </row>
    <row r="202" spans="1:7" ht="28.5">
      <c r="A202" s="745" t="s">
        <v>101</v>
      </c>
      <c r="B202" s="469" t="s">
        <v>1559</v>
      </c>
      <c r="C202" s="997"/>
      <c r="D202" s="431"/>
      <c r="E202" s="431"/>
      <c r="F202" s="431"/>
      <c r="G202" s="427"/>
    </row>
    <row r="203" spans="1:7" ht="14.25">
      <c r="A203" s="414" t="s">
        <v>102</v>
      </c>
      <c r="B203" s="469" t="s">
        <v>938</v>
      </c>
      <c r="C203" s="997"/>
      <c r="D203" s="431"/>
      <c r="E203" s="431"/>
      <c r="F203" s="431"/>
      <c r="G203" s="427"/>
    </row>
    <row r="204" spans="1:7" ht="14.25">
      <c r="A204" s="90"/>
      <c r="B204" s="463"/>
      <c r="C204" s="997"/>
      <c r="D204" s="431"/>
      <c r="E204" s="431"/>
      <c r="F204" s="431"/>
      <c r="G204" s="427"/>
    </row>
    <row r="205" spans="1:7" ht="14.25">
      <c r="A205" s="414" t="s">
        <v>56</v>
      </c>
      <c r="B205" s="469" t="s">
        <v>18</v>
      </c>
      <c r="C205" s="997"/>
      <c r="D205" s="431"/>
      <c r="E205" s="431"/>
      <c r="F205" s="431"/>
      <c r="G205" s="427"/>
    </row>
    <row r="206" spans="1:7" ht="28.5">
      <c r="A206" s="90" t="s">
        <v>43</v>
      </c>
      <c r="B206" s="463" t="s">
        <v>919</v>
      </c>
      <c r="C206" s="997"/>
      <c r="D206" s="431" t="s">
        <v>111</v>
      </c>
      <c r="E206" s="431" t="s">
        <v>1001</v>
      </c>
      <c r="F206" s="431"/>
      <c r="G206" s="427"/>
    </row>
    <row r="207" spans="1:7" ht="36">
      <c r="A207" s="90" t="s">
        <v>44</v>
      </c>
      <c r="B207" s="463" t="s">
        <v>939</v>
      </c>
      <c r="C207" s="997"/>
      <c r="D207" s="431" t="s">
        <v>967</v>
      </c>
      <c r="E207" s="431" t="s">
        <v>1592</v>
      </c>
      <c r="F207" s="431"/>
      <c r="G207" s="427"/>
    </row>
    <row r="208" spans="1:7" ht="24">
      <c r="A208" s="90" t="s">
        <v>45</v>
      </c>
      <c r="B208" s="463" t="s">
        <v>940</v>
      </c>
      <c r="C208" s="997"/>
      <c r="D208" s="431" t="s">
        <v>967</v>
      </c>
      <c r="E208" s="431" t="s">
        <v>1021</v>
      </c>
      <c r="F208" s="431" t="s">
        <v>966</v>
      </c>
      <c r="G208" s="427"/>
    </row>
    <row r="209" spans="1:7" ht="24">
      <c r="A209" s="90" t="s">
        <v>46</v>
      </c>
      <c r="B209" s="463" t="s">
        <v>941</v>
      </c>
      <c r="C209" s="997"/>
      <c r="D209" s="431" t="s">
        <v>964</v>
      </c>
      <c r="E209" s="431" t="s">
        <v>1041</v>
      </c>
      <c r="F209" s="431" t="s">
        <v>966</v>
      </c>
      <c r="G209" s="427"/>
    </row>
    <row r="210" spans="1:7" ht="36">
      <c r="A210" s="90" t="s">
        <v>47</v>
      </c>
      <c r="B210" s="463" t="s">
        <v>942</v>
      </c>
      <c r="C210" s="997"/>
      <c r="D210" s="431" t="s">
        <v>964</v>
      </c>
      <c r="E210" s="431" t="s">
        <v>1039</v>
      </c>
      <c r="F210" s="431" t="s">
        <v>966</v>
      </c>
      <c r="G210" s="427"/>
    </row>
    <row r="211" spans="1:7" ht="14.25">
      <c r="A211" s="414" t="s">
        <v>48</v>
      </c>
      <c r="B211" s="469" t="s">
        <v>623</v>
      </c>
      <c r="C211" s="997"/>
      <c r="D211" s="431"/>
      <c r="E211" s="431"/>
      <c r="F211" s="431"/>
      <c r="G211" s="427"/>
    </row>
    <row r="212" spans="1:7" ht="14.25">
      <c r="A212" s="414" t="s">
        <v>49</v>
      </c>
      <c r="B212" s="469" t="s">
        <v>624</v>
      </c>
      <c r="C212" s="997"/>
      <c r="D212" s="431"/>
      <c r="E212" s="431"/>
      <c r="F212" s="431"/>
      <c r="G212" s="427"/>
    </row>
    <row r="213" spans="1:7" ht="14.25">
      <c r="A213" s="414" t="s">
        <v>50</v>
      </c>
      <c r="B213" s="469" t="s">
        <v>625</v>
      </c>
      <c r="C213" s="997"/>
      <c r="D213" s="431"/>
      <c r="E213" s="431"/>
      <c r="F213" s="431"/>
      <c r="G213" s="427"/>
    </row>
    <row r="214" spans="1:7" ht="14.25">
      <c r="A214" s="90"/>
      <c r="B214" s="463"/>
      <c r="C214" s="997"/>
      <c r="D214" s="431"/>
      <c r="E214" s="431"/>
      <c r="F214" s="431"/>
      <c r="G214" s="427"/>
    </row>
    <row r="215" spans="1:7" ht="14.25">
      <c r="A215" s="414" t="s">
        <v>120</v>
      </c>
      <c r="B215" s="469" t="s">
        <v>626</v>
      </c>
      <c r="C215" s="997"/>
      <c r="D215" s="431"/>
      <c r="E215" s="431"/>
      <c r="F215" s="431"/>
      <c r="G215" s="427"/>
    </row>
    <row r="216" spans="1:7" ht="14.25">
      <c r="A216" s="414" t="s">
        <v>224</v>
      </c>
      <c r="B216" s="469" t="s">
        <v>627</v>
      </c>
      <c r="C216" s="997"/>
      <c r="D216" s="431"/>
      <c r="E216" s="431"/>
      <c r="F216" s="431"/>
      <c r="G216" s="427"/>
    </row>
    <row r="217" spans="1:7" ht="14.25">
      <c r="A217" s="90"/>
      <c r="B217" s="463"/>
      <c r="C217" s="997"/>
      <c r="D217" s="431"/>
      <c r="E217" s="431"/>
      <c r="F217" s="431"/>
      <c r="G217" s="427"/>
    </row>
    <row r="218" spans="1:7" ht="14.25">
      <c r="A218" s="414" t="s">
        <v>42</v>
      </c>
      <c r="B218" s="469" t="s">
        <v>333</v>
      </c>
      <c r="C218" s="997"/>
      <c r="D218" s="431"/>
      <c r="E218" s="431"/>
      <c r="F218" s="431"/>
      <c r="G218" s="427"/>
    </row>
    <row r="219" spans="1:7" ht="28.5">
      <c r="A219" s="414" t="s">
        <v>334</v>
      </c>
      <c r="B219" s="469" t="s">
        <v>628</v>
      </c>
      <c r="C219" s="997"/>
      <c r="D219" s="431"/>
      <c r="E219" s="431"/>
      <c r="F219" s="431"/>
      <c r="G219" s="427"/>
    </row>
    <row r="220" spans="1:7" ht="28.5">
      <c r="A220" s="414" t="s">
        <v>335</v>
      </c>
      <c r="B220" s="469" t="s">
        <v>629</v>
      </c>
      <c r="C220" s="997"/>
      <c r="D220" s="431"/>
      <c r="E220" s="431"/>
      <c r="F220" s="431"/>
      <c r="G220" s="427"/>
    </row>
    <row r="221" spans="1:7" ht="28.5">
      <c r="A221" s="414" t="s">
        <v>336</v>
      </c>
      <c r="B221" s="469" t="s">
        <v>1561</v>
      </c>
      <c r="C221" s="997"/>
      <c r="D221" s="431"/>
      <c r="E221" s="431"/>
      <c r="F221" s="431"/>
      <c r="G221" s="427"/>
    </row>
    <row r="222" spans="1:7" ht="14.25">
      <c r="A222" s="90"/>
      <c r="B222" s="463"/>
      <c r="C222" s="997"/>
      <c r="D222" s="431"/>
      <c r="E222" s="431"/>
      <c r="F222" s="431"/>
      <c r="G222" s="427"/>
    </row>
    <row r="223" spans="1:7" ht="14.25">
      <c r="A223" s="414" t="s">
        <v>239</v>
      </c>
      <c r="B223" s="469" t="s">
        <v>339</v>
      </c>
      <c r="C223" s="997"/>
      <c r="D223" s="431"/>
      <c r="E223" s="431"/>
      <c r="F223" s="431"/>
      <c r="G223" s="427"/>
    </row>
    <row r="224" spans="1:7" ht="28.5">
      <c r="A224" s="414" t="s">
        <v>341</v>
      </c>
      <c r="B224" s="469" t="s">
        <v>630</v>
      </c>
      <c r="C224" s="997"/>
      <c r="D224" s="431"/>
      <c r="E224" s="431"/>
      <c r="F224" s="431"/>
      <c r="G224" s="427"/>
    </row>
    <row r="225" spans="1:7" ht="28.5">
      <c r="A225" s="414" t="s">
        <v>342</v>
      </c>
      <c r="B225" s="469" t="s">
        <v>631</v>
      </c>
      <c r="C225" s="997"/>
      <c r="D225" s="431"/>
      <c r="E225" s="431"/>
      <c r="F225" s="431"/>
      <c r="G225" s="427"/>
    </row>
    <row r="226" spans="1:7" ht="28.5">
      <c r="A226" s="414" t="s">
        <v>343</v>
      </c>
      <c r="B226" s="469" t="s">
        <v>632</v>
      </c>
      <c r="C226" s="997"/>
      <c r="D226" s="431"/>
      <c r="E226" s="431"/>
      <c r="F226" s="431"/>
      <c r="G226" s="427"/>
    </row>
    <row r="227" spans="1:7" ht="14.25">
      <c r="A227" s="90" t="s">
        <v>754</v>
      </c>
      <c r="B227" s="469" t="s">
        <v>1562</v>
      </c>
      <c r="C227" s="997"/>
      <c r="D227" s="431"/>
      <c r="E227" s="431"/>
      <c r="F227" s="1002"/>
      <c r="G227" s="427"/>
    </row>
    <row r="228" spans="1:7" ht="14.25">
      <c r="A228" s="90"/>
      <c r="B228" s="463"/>
      <c r="C228" s="997"/>
      <c r="D228" s="431"/>
      <c r="E228" s="431"/>
      <c r="F228" s="431"/>
      <c r="G228" s="427"/>
    </row>
    <row r="229" spans="1:7" ht="14.25">
      <c r="A229" s="414" t="s">
        <v>240</v>
      </c>
      <c r="B229" s="469" t="s">
        <v>633</v>
      </c>
      <c r="C229" s="997"/>
      <c r="D229" s="431"/>
      <c r="E229" s="431"/>
      <c r="F229" s="431"/>
      <c r="G229" s="427"/>
    </row>
    <row r="230" spans="1:7" ht="57">
      <c r="A230" s="90" t="s">
        <v>344</v>
      </c>
      <c r="B230" s="463" t="s">
        <v>689</v>
      </c>
      <c r="C230" s="997"/>
      <c r="D230" s="431" t="s">
        <v>969</v>
      </c>
      <c r="E230" s="431" t="s">
        <v>1032</v>
      </c>
      <c r="F230" s="431" t="s">
        <v>1010</v>
      </c>
      <c r="G230" s="427"/>
    </row>
    <row r="231" spans="1:7" ht="48">
      <c r="A231" s="90" t="s">
        <v>345</v>
      </c>
      <c r="B231" s="463" t="s">
        <v>1557</v>
      </c>
      <c r="C231" s="997"/>
      <c r="D231" s="431" t="s">
        <v>969</v>
      </c>
      <c r="E231" s="431" t="s">
        <v>1033</v>
      </c>
      <c r="F231" s="431" t="s">
        <v>1022</v>
      </c>
      <c r="G231" s="427"/>
    </row>
    <row r="232" spans="1:7" ht="48">
      <c r="A232" s="90" t="s">
        <v>346</v>
      </c>
      <c r="B232" s="463" t="s">
        <v>634</v>
      </c>
      <c r="C232" s="997"/>
      <c r="D232" s="431" t="s">
        <v>969</v>
      </c>
      <c r="E232" s="431" t="s">
        <v>1034</v>
      </c>
      <c r="F232" s="431" t="s">
        <v>1027</v>
      </c>
      <c r="G232" s="427"/>
    </row>
    <row r="233" spans="1:7" ht="14.25">
      <c r="A233" s="90"/>
      <c r="B233" s="463"/>
      <c r="C233" s="997"/>
      <c r="D233" s="431"/>
      <c r="E233" s="431"/>
      <c r="F233" s="431"/>
      <c r="G233" s="427"/>
    </row>
    <row r="234" spans="1:7" ht="14.25">
      <c r="A234" s="414" t="s">
        <v>374</v>
      </c>
      <c r="B234" s="469" t="s">
        <v>373</v>
      </c>
      <c r="C234" s="997"/>
      <c r="D234" s="431"/>
      <c r="E234" s="431"/>
      <c r="F234" s="431"/>
      <c r="G234" s="427"/>
    </row>
    <row r="235" spans="1:7" ht="14.25">
      <c r="A235" s="90" t="s">
        <v>375</v>
      </c>
      <c r="B235" s="463" t="s">
        <v>635</v>
      </c>
      <c r="C235" s="997" t="s">
        <v>1267</v>
      </c>
      <c r="D235" s="431" t="s">
        <v>970</v>
      </c>
      <c r="E235" s="431" t="s">
        <v>985</v>
      </c>
      <c r="F235" s="431"/>
      <c r="G235" s="427"/>
    </row>
    <row r="236" spans="1:7" ht="14.25">
      <c r="A236" s="90" t="s">
        <v>376</v>
      </c>
      <c r="B236" s="463" t="s">
        <v>636</v>
      </c>
      <c r="C236" s="997" t="s">
        <v>1266</v>
      </c>
      <c r="D236" s="431" t="s">
        <v>970</v>
      </c>
      <c r="E236" s="431" t="s">
        <v>986</v>
      </c>
      <c r="F236" s="431"/>
      <c r="G236" s="427"/>
    </row>
    <row r="237" spans="1:7" ht="14.25">
      <c r="A237" s="90"/>
      <c r="B237" s="463"/>
      <c r="C237" s="997"/>
      <c r="D237" s="431"/>
      <c r="E237" s="431"/>
      <c r="F237" s="431"/>
      <c r="G237" s="427"/>
    </row>
    <row r="238" spans="1:7" ht="14.25">
      <c r="A238" s="414" t="s">
        <v>382</v>
      </c>
      <c r="B238" s="469" t="s">
        <v>693</v>
      </c>
      <c r="C238" s="997"/>
      <c r="D238" s="431"/>
      <c r="E238" s="431"/>
      <c r="F238" s="431"/>
      <c r="G238" s="427"/>
    </row>
    <row r="239" spans="1:7" ht="28.5" customHeight="1">
      <c r="A239" s="90" t="s">
        <v>383</v>
      </c>
      <c r="B239" s="463" t="s">
        <v>690</v>
      </c>
      <c r="C239" s="1005" t="s">
        <v>1533</v>
      </c>
      <c r="D239" s="1003" t="s">
        <v>925</v>
      </c>
      <c r="E239" s="1006" t="s">
        <v>1265</v>
      </c>
      <c r="F239" s="1006" t="s">
        <v>1624</v>
      </c>
      <c r="G239" s="427"/>
    </row>
    <row r="240" spans="1:7" ht="24" customHeight="1">
      <c r="A240" s="90" t="s">
        <v>384</v>
      </c>
      <c r="B240" s="463" t="s">
        <v>691</v>
      </c>
      <c r="C240" s="1007"/>
      <c r="D240" s="1008"/>
      <c r="E240" s="1006"/>
      <c r="F240" s="1006"/>
      <c r="G240" s="427"/>
    </row>
    <row r="241" spans="1:7" ht="29.25" customHeight="1">
      <c r="A241" s="90" t="s">
        <v>385</v>
      </c>
      <c r="B241" s="463" t="s">
        <v>692</v>
      </c>
      <c r="C241" s="1007"/>
      <c r="D241" s="1008"/>
      <c r="E241" s="1006"/>
      <c r="F241" s="1006"/>
      <c r="G241" s="427"/>
    </row>
    <row r="242" spans="1:7" ht="39" customHeight="1">
      <c r="A242" s="90" t="s">
        <v>386</v>
      </c>
      <c r="B242" s="463" t="s">
        <v>637</v>
      </c>
      <c r="C242" s="1009"/>
      <c r="D242" s="1004"/>
      <c r="E242" s="1006"/>
      <c r="F242" s="1006"/>
      <c r="G242" s="427"/>
    </row>
    <row r="243" spans="1:7" ht="14.25">
      <c r="A243" s="414" t="s">
        <v>699</v>
      </c>
      <c r="B243" s="469" t="s">
        <v>759</v>
      </c>
      <c r="C243" s="997"/>
      <c r="D243" s="431"/>
      <c r="E243" s="1010"/>
      <c r="F243" s="431"/>
      <c r="G243" s="427"/>
    </row>
    <row r="244" spans="1:7" ht="14.25">
      <c r="A244" s="414" t="s">
        <v>720</v>
      </c>
      <c r="B244" s="469" t="s">
        <v>858</v>
      </c>
      <c r="C244" s="997"/>
      <c r="D244" s="431"/>
      <c r="E244" s="431"/>
      <c r="F244" s="431"/>
      <c r="G244" s="427"/>
    </row>
    <row r="245" spans="1:7" ht="36">
      <c r="A245" s="90" t="s">
        <v>867</v>
      </c>
      <c r="B245" s="463" t="s">
        <v>1071</v>
      </c>
      <c r="C245" s="999" t="s">
        <v>1072</v>
      </c>
      <c r="D245" s="431" t="s">
        <v>971</v>
      </c>
      <c r="E245" s="431" t="s">
        <v>878</v>
      </c>
      <c r="F245" s="431" t="s">
        <v>1065</v>
      </c>
      <c r="G245" s="427"/>
    </row>
    <row r="246" spans="1:7" ht="36">
      <c r="A246" s="90" t="s">
        <v>868</v>
      </c>
      <c r="B246" s="463" t="s">
        <v>1564</v>
      </c>
      <c r="C246" s="999" t="s">
        <v>1072</v>
      </c>
      <c r="D246" s="431" t="s">
        <v>971</v>
      </c>
      <c r="E246" s="431" t="s">
        <v>869</v>
      </c>
      <c r="F246" s="431" t="s">
        <v>1066</v>
      </c>
      <c r="G246" s="427"/>
    </row>
    <row r="247" spans="1:7" ht="14.25">
      <c r="A247" s="414" t="s">
        <v>870</v>
      </c>
      <c r="B247" s="469" t="s">
        <v>857</v>
      </c>
      <c r="C247" s="997"/>
      <c r="D247" s="431"/>
      <c r="E247" s="431"/>
      <c r="F247" s="431"/>
      <c r="G247" s="427"/>
    </row>
    <row r="248" spans="1:7" ht="54.75" customHeight="1">
      <c r="A248" s="90" t="s">
        <v>43</v>
      </c>
      <c r="B248" s="463" t="s">
        <v>872</v>
      </c>
      <c r="C248" s="997" t="s">
        <v>871</v>
      </c>
      <c r="D248" s="431" t="s">
        <v>955</v>
      </c>
      <c r="E248" s="1006" t="s">
        <v>1064</v>
      </c>
      <c r="F248" s="431"/>
      <c r="G248" s="435"/>
    </row>
    <row r="249" spans="1:7" ht="42.75">
      <c r="A249" s="90" t="s">
        <v>44</v>
      </c>
      <c r="B249" s="463" t="s">
        <v>873</v>
      </c>
      <c r="C249" s="997"/>
      <c r="D249" s="431" t="s">
        <v>955</v>
      </c>
      <c r="E249" s="1006"/>
      <c r="F249" s="431"/>
      <c r="G249" s="435"/>
    </row>
    <row r="250" spans="1:7" ht="42.75">
      <c r="A250" s="90" t="s">
        <v>45</v>
      </c>
      <c r="B250" s="463" t="s">
        <v>874</v>
      </c>
      <c r="C250" s="997"/>
      <c r="D250" s="431" t="s">
        <v>955</v>
      </c>
      <c r="E250" s="1006"/>
      <c r="F250" s="431"/>
      <c r="G250" s="435"/>
    </row>
    <row r="251" spans="1:7" ht="14.25">
      <c r="A251" s="414" t="s">
        <v>875</v>
      </c>
      <c r="B251" s="469" t="s">
        <v>782</v>
      </c>
      <c r="C251" s="997"/>
      <c r="D251" s="431"/>
      <c r="E251" s="431"/>
      <c r="F251" s="431"/>
      <c r="G251" s="427"/>
    </row>
    <row r="252" spans="1:7" ht="42.75">
      <c r="A252" s="90" t="s">
        <v>43</v>
      </c>
      <c r="B252" s="463" t="s">
        <v>1563</v>
      </c>
      <c r="C252" s="999" t="s">
        <v>1072</v>
      </c>
      <c r="D252" s="431" t="s">
        <v>924</v>
      </c>
      <c r="E252" s="431" t="s">
        <v>876</v>
      </c>
      <c r="F252" s="431" t="s">
        <v>1067</v>
      </c>
      <c r="G252" s="427"/>
    </row>
    <row r="253" spans="1:7" ht="46.5" customHeight="1">
      <c r="A253" s="90" t="s">
        <v>44</v>
      </c>
      <c r="B253" s="463" t="s">
        <v>1565</v>
      </c>
      <c r="C253" s="997" t="s">
        <v>1072</v>
      </c>
      <c r="D253" s="431" t="s">
        <v>924</v>
      </c>
      <c r="E253" s="431" t="s">
        <v>877</v>
      </c>
      <c r="F253" s="431" t="s">
        <v>1066</v>
      </c>
      <c r="G253" s="427"/>
    </row>
    <row r="254" spans="1:7" ht="14.25">
      <c r="A254" s="90" t="s">
        <v>879</v>
      </c>
      <c r="B254" s="469" t="s">
        <v>771</v>
      </c>
      <c r="C254" s="997"/>
      <c r="D254" s="431"/>
      <c r="E254" s="431"/>
      <c r="F254" s="431"/>
      <c r="G254" s="427"/>
    </row>
    <row r="255" spans="1:7" ht="48">
      <c r="A255" s="90" t="s">
        <v>43</v>
      </c>
      <c r="B255" s="463" t="s">
        <v>1053</v>
      </c>
      <c r="C255" s="997"/>
      <c r="D255" s="431" t="s">
        <v>924</v>
      </c>
      <c r="E255" s="1011" t="s">
        <v>1094</v>
      </c>
      <c r="F255" s="431" t="s">
        <v>1011</v>
      </c>
      <c r="G255" s="435"/>
    </row>
    <row r="256" spans="1:7" ht="48">
      <c r="A256" s="90" t="s">
        <v>44</v>
      </c>
      <c r="B256" s="463" t="s">
        <v>880</v>
      </c>
      <c r="C256" s="997"/>
      <c r="D256" s="431" t="s">
        <v>924</v>
      </c>
      <c r="E256" s="1011" t="s">
        <v>1095</v>
      </c>
      <c r="F256" s="431" t="s">
        <v>1004</v>
      </c>
      <c r="G256" s="435"/>
    </row>
    <row r="257" spans="1:7" ht="36">
      <c r="A257" s="90" t="s">
        <v>45</v>
      </c>
      <c r="B257" s="463" t="s">
        <v>881</v>
      </c>
      <c r="C257" s="997"/>
      <c r="D257" s="431" t="s">
        <v>924</v>
      </c>
      <c r="E257" s="1011" t="s">
        <v>1096</v>
      </c>
      <c r="F257" s="431" t="s">
        <v>987</v>
      </c>
      <c r="G257" s="435"/>
    </row>
    <row r="258" spans="1:7" ht="24">
      <c r="A258" s="90" t="s">
        <v>46</v>
      </c>
      <c r="B258" s="463" t="s">
        <v>882</v>
      </c>
      <c r="C258" s="997"/>
      <c r="D258" s="431"/>
      <c r="E258" s="1011" t="s">
        <v>988</v>
      </c>
      <c r="F258" s="431" t="s">
        <v>972</v>
      </c>
      <c r="G258" s="435"/>
    </row>
    <row r="259" spans="1:7" ht="48">
      <c r="A259" s="90" t="s">
        <v>47</v>
      </c>
      <c r="B259" s="463" t="s">
        <v>1054</v>
      </c>
      <c r="C259" s="997"/>
      <c r="D259" s="431" t="s">
        <v>924</v>
      </c>
      <c r="E259" s="1011" t="s">
        <v>1005</v>
      </c>
      <c r="F259" s="431" t="s">
        <v>1011</v>
      </c>
      <c r="G259" s="435"/>
    </row>
    <row r="260" spans="1:7" ht="42.75">
      <c r="A260" s="90" t="s">
        <v>48</v>
      </c>
      <c r="B260" s="463" t="s">
        <v>883</v>
      </c>
      <c r="C260" s="997"/>
      <c r="D260" s="431" t="s">
        <v>924</v>
      </c>
      <c r="E260" s="1011" t="s">
        <v>1217</v>
      </c>
      <c r="F260" s="431" t="s">
        <v>1004</v>
      </c>
      <c r="G260" s="435"/>
    </row>
    <row r="261" spans="1:7" ht="28.5">
      <c r="A261" s="90" t="s">
        <v>49</v>
      </c>
      <c r="B261" s="463" t="s">
        <v>1216</v>
      </c>
      <c r="C261" s="997"/>
      <c r="D261" s="431" t="s">
        <v>924</v>
      </c>
      <c r="E261" s="1011" t="s">
        <v>988</v>
      </c>
      <c r="F261" s="431" t="s">
        <v>1218</v>
      </c>
      <c r="G261" s="435"/>
    </row>
    <row r="262" spans="1:7" ht="24">
      <c r="A262" s="90" t="s">
        <v>50</v>
      </c>
      <c r="B262" s="463" t="s">
        <v>884</v>
      </c>
      <c r="C262" s="997"/>
      <c r="D262" s="431"/>
      <c r="E262" s="1011" t="s">
        <v>988</v>
      </c>
      <c r="F262" s="1002"/>
      <c r="G262" s="435"/>
    </row>
    <row r="263" spans="1:7" ht="14.25">
      <c r="A263" s="90" t="s">
        <v>885</v>
      </c>
      <c r="B263" s="469" t="s">
        <v>765</v>
      </c>
      <c r="C263" s="997"/>
      <c r="D263" s="431"/>
      <c r="E263" s="1011"/>
      <c r="F263" s="1002"/>
      <c r="G263" s="435"/>
    </row>
    <row r="264" spans="1:7" ht="60">
      <c r="A264" s="90" t="s">
        <v>43</v>
      </c>
      <c r="B264" s="463" t="s">
        <v>1055</v>
      </c>
      <c r="C264" s="998" t="s">
        <v>886</v>
      </c>
      <c r="D264" s="1011"/>
      <c r="E264" s="1011" t="s">
        <v>1006</v>
      </c>
      <c r="F264" s="431" t="s">
        <v>1011</v>
      </c>
      <c r="G264" s="435"/>
    </row>
    <row r="265" spans="1:7" ht="60">
      <c r="A265" s="90" t="s">
        <v>44</v>
      </c>
      <c r="B265" s="463" t="s">
        <v>887</v>
      </c>
      <c r="C265" s="998"/>
      <c r="D265" s="1011"/>
      <c r="E265" s="1011" t="s">
        <v>1097</v>
      </c>
      <c r="F265" s="431" t="s">
        <v>1004</v>
      </c>
      <c r="G265" s="435"/>
    </row>
    <row r="266" spans="1:7" ht="14.25">
      <c r="A266" s="436" t="s">
        <v>719</v>
      </c>
      <c r="B266" s="469" t="s">
        <v>843</v>
      </c>
      <c r="C266" s="1012"/>
      <c r="D266" s="1011"/>
      <c r="E266" s="1011"/>
      <c r="F266" s="1002"/>
      <c r="G266" s="435"/>
    </row>
    <row r="267" spans="1:7" ht="28.5">
      <c r="A267" s="90" t="s">
        <v>43</v>
      </c>
      <c r="B267" s="463" t="s">
        <v>1184</v>
      </c>
      <c r="C267" s="1012"/>
      <c r="D267" s="1011"/>
      <c r="E267" s="1006" t="s">
        <v>1628</v>
      </c>
      <c r="F267" s="1002"/>
      <c r="G267" s="435"/>
    </row>
    <row r="268" spans="1:7" ht="28.5">
      <c r="A268" s="90" t="s">
        <v>44</v>
      </c>
      <c r="B268" s="463" t="s">
        <v>1185</v>
      </c>
      <c r="C268" s="1012"/>
      <c r="D268" s="1011"/>
      <c r="E268" s="1006"/>
      <c r="F268" s="1002"/>
      <c r="G268" s="435"/>
    </row>
    <row r="269" spans="1:7" ht="28.5">
      <c r="A269" s="90" t="s">
        <v>45</v>
      </c>
      <c r="B269" s="463" t="s">
        <v>1186</v>
      </c>
      <c r="C269" s="1012"/>
      <c r="D269" s="1011"/>
      <c r="E269" s="1006"/>
      <c r="F269" s="1002"/>
      <c r="G269" s="435"/>
    </row>
    <row r="270" spans="1:7" ht="14.25">
      <c r="A270" s="90" t="s">
        <v>46</v>
      </c>
      <c r="B270" s="463" t="s">
        <v>1187</v>
      </c>
      <c r="C270" s="1012"/>
      <c r="D270" s="1011"/>
      <c r="E270" s="1006"/>
      <c r="F270" s="1002"/>
      <c r="G270" s="435"/>
    </row>
    <row r="271" spans="1:7" ht="14.25">
      <c r="A271" s="90" t="s">
        <v>47</v>
      </c>
      <c r="B271" s="463" t="s">
        <v>1188</v>
      </c>
      <c r="C271" s="1012"/>
      <c r="D271" s="1011"/>
      <c r="E271" s="1006"/>
      <c r="F271" s="1002"/>
      <c r="G271" s="435"/>
    </row>
    <row r="272" spans="1:7" ht="14.25">
      <c r="A272" s="90" t="s">
        <v>48</v>
      </c>
      <c r="B272" s="463" t="s">
        <v>1189</v>
      </c>
      <c r="C272" s="1012"/>
      <c r="D272" s="1011"/>
      <c r="E272" s="1006"/>
      <c r="F272" s="1002"/>
      <c r="G272" s="435"/>
    </row>
    <row r="273" spans="1:7" ht="41.25" customHeight="1">
      <c r="A273" s="90" t="s">
        <v>49</v>
      </c>
      <c r="B273" s="463" t="s">
        <v>1190</v>
      </c>
      <c r="C273" s="1012"/>
      <c r="D273" s="1011"/>
      <c r="E273" s="1006"/>
      <c r="F273" s="1002"/>
      <c r="G273" s="435"/>
    </row>
    <row r="274" spans="1:7" s="433" customFormat="1" ht="14.25">
      <c r="A274" s="679" t="s">
        <v>852</v>
      </c>
      <c r="B274" s="469" t="s">
        <v>1226</v>
      </c>
      <c r="C274" s="1013"/>
      <c r="D274" s="1014"/>
      <c r="E274" s="1014"/>
      <c r="F274" s="1015"/>
      <c r="G274" s="681"/>
    </row>
    <row r="275" spans="1:7" ht="28.5" customHeight="1">
      <c r="A275" s="90" t="s">
        <v>43</v>
      </c>
      <c r="B275" s="463" t="s">
        <v>1572</v>
      </c>
      <c r="C275" s="1016" t="s">
        <v>1637</v>
      </c>
      <c r="D275" s="1011"/>
      <c r="E275" s="1011"/>
      <c r="F275" s="1002"/>
      <c r="G275" s="435"/>
    </row>
    <row r="276" spans="1:7" ht="14.25">
      <c r="A276" s="90" t="s">
        <v>44</v>
      </c>
      <c r="B276" s="463" t="s">
        <v>1228</v>
      </c>
      <c r="C276" s="1017"/>
      <c r="D276" s="1011"/>
      <c r="E276" s="1011"/>
      <c r="F276" s="1002"/>
      <c r="G276" s="435"/>
    </row>
    <row r="277" spans="1:7" ht="14.25">
      <c r="A277" s="90" t="s">
        <v>45</v>
      </c>
      <c r="B277" s="463" t="s">
        <v>1229</v>
      </c>
      <c r="C277" s="1018"/>
      <c r="D277" s="1011"/>
      <c r="E277" s="1011"/>
      <c r="F277" s="1002"/>
      <c r="G277" s="435"/>
    </row>
    <row r="278" spans="1:7" s="433" customFormat="1" ht="14.25">
      <c r="A278" s="679"/>
      <c r="B278" s="469"/>
      <c r="C278" s="1013"/>
      <c r="D278" s="1014"/>
      <c r="E278" s="1014"/>
      <c r="F278" s="1015"/>
      <c r="G278" s="681"/>
    </row>
    <row r="279" spans="1:7" s="433" customFormat="1" ht="14.25">
      <c r="A279" s="414" t="s">
        <v>951</v>
      </c>
      <c r="B279" s="469" t="s">
        <v>700</v>
      </c>
      <c r="C279" s="1000"/>
      <c r="D279" s="1001"/>
      <c r="E279" s="1001"/>
      <c r="F279" s="1015"/>
      <c r="G279" s="432"/>
    </row>
    <row r="280" spans="1:7" ht="14.25">
      <c r="A280" s="418" t="s">
        <v>43</v>
      </c>
      <c r="B280" s="1002" t="s">
        <v>888</v>
      </c>
      <c r="C280" s="997"/>
      <c r="D280" s="431"/>
      <c r="E280" s="431"/>
      <c r="F280" s="431"/>
      <c r="G280" s="427"/>
    </row>
    <row r="281" spans="1:6" ht="14.25">
      <c r="A281" s="418"/>
      <c r="B281" s="1002"/>
      <c r="C281" s="997"/>
      <c r="D281" s="431"/>
      <c r="E281" s="431"/>
      <c r="F281" s="431"/>
    </row>
    <row r="282" spans="1:6" ht="14.25">
      <c r="A282" s="434" t="s">
        <v>1086</v>
      </c>
      <c r="B282" s="1015" t="s">
        <v>912</v>
      </c>
      <c r="C282" s="997"/>
      <c r="D282" s="431"/>
      <c r="E282" s="431"/>
      <c r="F282" s="431"/>
    </row>
    <row r="283" spans="1:6" ht="14.25">
      <c r="A283" s="418" t="s">
        <v>43</v>
      </c>
      <c r="B283" s="1015" t="s">
        <v>911</v>
      </c>
      <c r="C283" s="997"/>
      <c r="D283" s="431"/>
      <c r="E283" s="431"/>
      <c r="F283" s="431"/>
    </row>
    <row r="284" spans="1:6" ht="28.5">
      <c r="A284" s="418"/>
      <c r="B284" s="1019" t="s">
        <v>1122</v>
      </c>
      <c r="C284" s="997"/>
      <c r="D284" s="431"/>
      <c r="E284" s="431"/>
      <c r="F284" s="431"/>
    </row>
    <row r="285" spans="1:6" ht="14.25">
      <c r="A285" s="418" t="s">
        <v>44</v>
      </c>
      <c r="B285" s="1015" t="s">
        <v>913</v>
      </c>
      <c r="C285" s="997"/>
      <c r="D285" s="431"/>
      <c r="E285" s="431"/>
      <c r="F285" s="431"/>
    </row>
    <row r="286" spans="1:6" ht="42.75">
      <c r="A286" s="418"/>
      <c r="B286" s="1019" t="s">
        <v>1028</v>
      </c>
      <c r="C286" s="997"/>
      <c r="D286" s="431"/>
      <c r="E286" s="431"/>
      <c r="F286" s="1002"/>
    </row>
    <row r="287" spans="1:6" ht="14.25">
      <c r="A287" s="418" t="s">
        <v>45</v>
      </c>
      <c r="B287" s="1015" t="s">
        <v>918</v>
      </c>
      <c r="C287" s="997"/>
      <c r="D287" s="431"/>
      <c r="E287" s="431"/>
      <c r="F287" s="431"/>
    </row>
    <row r="288" spans="1:7" s="433" customFormat="1" ht="28.5">
      <c r="A288" s="434"/>
      <c r="B288" s="1020" t="s">
        <v>1023</v>
      </c>
      <c r="C288" s="1000"/>
      <c r="D288" s="1001"/>
      <c r="E288" s="1001"/>
      <c r="F288" s="1015"/>
      <c r="G288" s="437"/>
    </row>
    <row r="289" spans="1:6" ht="14.25">
      <c r="A289" s="418" t="s">
        <v>46</v>
      </c>
      <c r="B289" s="1015" t="s">
        <v>916</v>
      </c>
      <c r="C289" s="997"/>
      <c r="D289" s="431"/>
      <c r="E289" s="431"/>
      <c r="F289" s="431"/>
    </row>
    <row r="290" spans="1:6" ht="28.5">
      <c r="A290" s="418"/>
      <c r="B290" s="1012" t="s">
        <v>1029</v>
      </c>
      <c r="C290" s="997"/>
      <c r="D290" s="431"/>
      <c r="E290" s="431"/>
      <c r="F290" s="431"/>
    </row>
    <row r="291" spans="1:6" ht="14.25">
      <c r="A291" s="418" t="s">
        <v>47</v>
      </c>
      <c r="B291" s="1015" t="s">
        <v>917</v>
      </c>
      <c r="C291" s="997"/>
      <c r="D291" s="431"/>
      <c r="E291" s="431"/>
      <c r="F291" s="431"/>
    </row>
    <row r="292" spans="1:6" ht="28.5">
      <c r="A292" s="418"/>
      <c r="B292" s="1020" t="s">
        <v>1030</v>
      </c>
      <c r="C292" s="997"/>
      <c r="D292" s="431"/>
      <c r="E292" s="431"/>
      <c r="F292" s="431"/>
    </row>
    <row r="293" spans="1:6" ht="14.25">
      <c r="A293" s="418" t="s">
        <v>48</v>
      </c>
      <c r="B293" s="1015" t="s">
        <v>1083</v>
      </c>
      <c r="C293" s="997"/>
      <c r="D293" s="431"/>
      <c r="E293" s="431"/>
      <c r="F293" s="431"/>
    </row>
    <row r="294" spans="1:6" ht="57">
      <c r="A294" s="418"/>
      <c r="B294" s="1020" t="s">
        <v>1012</v>
      </c>
      <c r="C294" s="997"/>
      <c r="D294" s="431"/>
      <c r="E294" s="431"/>
      <c r="F294" s="431"/>
    </row>
    <row r="295" spans="1:7" s="433" customFormat="1" ht="14.25">
      <c r="A295" s="434" t="s">
        <v>1225</v>
      </c>
      <c r="B295" s="1021" t="s">
        <v>866</v>
      </c>
      <c r="C295" s="1000"/>
      <c r="D295" s="1001"/>
      <c r="E295" s="1001"/>
      <c r="F295" s="1001"/>
      <c r="G295" s="437"/>
    </row>
    <row r="296" spans="1:6" ht="28.5">
      <c r="A296" s="92" t="s">
        <v>43</v>
      </c>
      <c r="B296" s="793" t="s">
        <v>1091</v>
      </c>
      <c r="C296" s="997"/>
      <c r="D296" s="431"/>
      <c r="E296" s="431"/>
      <c r="F296" s="431"/>
    </row>
    <row r="297" spans="1:6" ht="14.25">
      <c r="A297" s="418"/>
      <c r="B297" s="1020"/>
      <c r="C297" s="997"/>
      <c r="D297" s="431"/>
      <c r="E297" s="431"/>
      <c r="F297" s="431"/>
    </row>
    <row r="298" spans="1:6" ht="14.25">
      <c r="A298" s="434" t="s">
        <v>1227</v>
      </c>
      <c r="B298" s="1015" t="s">
        <v>952</v>
      </c>
      <c r="C298" s="997"/>
      <c r="D298" s="431"/>
      <c r="E298" s="997"/>
      <c r="F298" s="431"/>
    </row>
    <row r="299" spans="1:6" ht="14.25">
      <c r="A299" s="418" t="s">
        <v>905</v>
      </c>
      <c r="B299" s="1002" t="s">
        <v>902</v>
      </c>
      <c r="C299" s="997"/>
      <c r="D299" s="431"/>
      <c r="E299" s="997"/>
      <c r="F299" s="431"/>
    </row>
    <row r="300" spans="1:6" ht="14.25">
      <c r="A300" s="418" t="s">
        <v>906</v>
      </c>
      <c r="B300" s="1002" t="s">
        <v>903</v>
      </c>
      <c r="C300" s="997"/>
      <c r="D300" s="431"/>
      <c r="E300" s="997"/>
      <c r="F300" s="431"/>
    </row>
    <row r="301" spans="1:6" ht="14.25">
      <c r="A301" s="418" t="s">
        <v>907</v>
      </c>
      <c r="B301" s="1002" t="s">
        <v>900</v>
      </c>
      <c r="C301" s="997"/>
      <c r="D301" s="431"/>
      <c r="E301" s="997"/>
      <c r="F301" s="431"/>
    </row>
    <row r="302" spans="1:6" ht="14.25">
      <c r="A302" s="418" t="s">
        <v>908</v>
      </c>
      <c r="B302" s="1002" t="s">
        <v>901</v>
      </c>
      <c r="C302" s="997"/>
      <c r="D302" s="431"/>
      <c r="E302" s="997"/>
      <c r="F302" s="431"/>
    </row>
    <row r="303" spans="1:6" ht="14.25">
      <c r="A303" s="418" t="s">
        <v>909</v>
      </c>
      <c r="B303" s="1022" t="s">
        <v>898</v>
      </c>
      <c r="C303" s="997"/>
      <c r="D303" s="431"/>
      <c r="E303" s="997"/>
      <c r="F303" s="431"/>
    </row>
    <row r="304" spans="1:6" ht="14.25">
      <c r="A304" s="418" t="s">
        <v>910</v>
      </c>
      <c r="B304" s="1022" t="s">
        <v>899</v>
      </c>
      <c r="C304" s="997"/>
      <c r="D304" s="431"/>
      <c r="E304" s="997"/>
      <c r="F304" s="431"/>
    </row>
    <row r="305" spans="1:6" ht="14.25">
      <c r="A305" s="418" t="s">
        <v>914</v>
      </c>
      <c r="B305" s="1022" t="s">
        <v>915</v>
      </c>
      <c r="C305" s="997"/>
      <c r="D305" s="431"/>
      <c r="E305" s="997"/>
      <c r="F305" s="431"/>
    </row>
    <row r="306" spans="1:6" ht="14.25">
      <c r="A306" s="418" t="s">
        <v>973</v>
      </c>
      <c r="B306" s="1002" t="s">
        <v>954</v>
      </c>
      <c r="C306" s="997"/>
      <c r="D306" s="431"/>
      <c r="E306" s="997"/>
      <c r="F306" s="431"/>
    </row>
    <row r="307" spans="1:6" ht="14.25">
      <c r="A307" s="417"/>
      <c r="B307" s="1023"/>
      <c r="C307" s="1024"/>
      <c r="D307" s="1025"/>
      <c r="E307" s="1024"/>
      <c r="F307" s="1025"/>
    </row>
    <row r="308" spans="1:6" ht="14.25">
      <c r="A308" s="417"/>
      <c r="B308" s="1023"/>
      <c r="C308" s="1024"/>
      <c r="D308" s="1025"/>
      <c r="E308" s="1024"/>
      <c r="F308" s="1025"/>
    </row>
  </sheetData>
  <sheetProtection password="FABB" sheet="1"/>
  <mergeCells count="13">
    <mergeCell ref="C239:C242"/>
    <mergeCell ref="E267:E273"/>
    <mergeCell ref="C36:C41"/>
    <mergeCell ref="C275:C277"/>
    <mergeCell ref="A1:F1"/>
    <mergeCell ref="E248:E250"/>
    <mergeCell ref="C264:C265"/>
    <mergeCell ref="C110:C111"/>
    <mergeCell ref="D239:D242"/>
    <mergeCell ref="E239:E242"/>
    <mergeCell ref="F239:F242"/>
    <mergeCell ref="A4:F4"/>
    <mergeCell ref="A5:F5"/>
  </mergeCells>
  <printOptions horizontalCentered="1"/>
  <pageMargins left="0.11811023622047245" right="0" top="0.35433070866141736" bottom="0.35433070866141736" header="0.31496062992125984" footer="0.31496062992125984"/>
  <pageSetup horizontalDpi="600" verticalDpi="600" orientation="landscape" paperSize="9" scale="70" r:id="rId1"/>
  <headerFooter>
    <oddFooter>&amp;C&amp;P&amp;RNote: Not to be quoted and not to be published without prior permission</oddFooter>
  </headerFooter>
</worksheet>
</file>

<file path=xl/worksheets/sheet10.xml><?xml version="1.0" encoding="utf-8"?>
<worksheet xmlns="http://schemas.openxmlformats.org/spreadsheetml/2006/main" xmlns:r="http://schemas.openxmlformats.org/officeDocument/2006/relationships">
  <dimension ref="A1:F14"/>
  <sheetViews>
    <sheetView zoomScalePageLayoutView="0" workbookViewId="0" topLeftCell="C1">
      <selection activeCell="F14" sqref="F14"/>
    </sheetView>
  </sheetViews>
  <sheetFormatPr defaultColWidth="0" defaultRowHeight="15" zeroHeight="1"/>
  <cols>
    <col min="1" max="1" width="5.8515625" style="28" customWidth="1"/>
    <col min="2" max="2" width="33.8515625" style="4" customWidth="1"/>
    <col min="3" max="3" width="27.57421875" style="4" customWidth="1"/>
    <col min="4" max="4" width="13.28125" style="4" customWidth="1"/>
    <col min="5" max="5" width="12.8515625" style="4" customWidth="1"/>
    <col min="6" max="6" width="16.28125" style="4" customWidth="1"/>
    <col min="7" max="16384" width="0" style="4" hidden="1" customWidth="1"/>
  </cols>
  <sheetData>
    <row r="1" spans="1:6" s="220" customFormat="1" ht="23.25">
      <c r="A1" s="969" t="s">
        <v>424</v>
      </c>
      <c r="B1" s="969"/>
      <c r="C1" s="969"/>
      <c r="D1" s="969"/>
      <c r="E1" s="969"/>
      <c r="F1" s="969"/>
    </row>
    <row r="2" spans="1:6" s="221" customFormat="1" ht="18">
      <c r="A2" s="970" t="str">
        <f>'Summary Sheet'!A3:B3</f>
        <v>Name of the Unit</v>
      </c>
      <c r="B2" s="971"/>
      <c r="C2" s="972" t="str">
        <f>'Summary Sheet'!C3:D3</f>
        <v>  </v>
      </c>
      <c r="D2" s="973"/>
      <c r="E2" s="973"/>
      <c r="F2" s="974"/>
    </row>
    <row r="3" spans="1:6" ht="14.25">
      <c r="A3" s="975" t="s">
        <v>839</v>
      </c>
      <c r="B3" s="975"/>
      <c r="C3" s="6" t="s">
        <v>698</v>
      </c>
      <c r="D3" s="222"/>
      <c r="E3" s="222" t="str">
        <f>'Form-Sb'!H525</f>
        <v>Yes</v>
      </c>
      <c r="F3" s="223" t="str">
        <f>'Form-Sb'!I525</f>
        <v>Yes</v>
      </c>
    </row>
    <row r="4" spans="1:6" ht="57">
      <c r="A4" s="16" t="s">
        <v>372</v>
      </c>
      <c r="B4" s="23" t="s">
        <v>392</v>
      </c>
      <c r="C4" s="23" t="s">
        <v>393</v>
      </c>
      <c r="D4" s="23" t="s">
        <v>394</v>
      </c>
      <c r="E4" s="252" t="str">
        <f>'Base line Parameters'!E5</f>
        <v>Baseline Year (Average of year1 to Year 3)</v>
      </c>
      <c r="F4" s="252" t="str">
        <f>'Base line Parameters'!F5</f>
        <v>Current/Assessment /Target Year    (20__-20__)</v>
      </c>
    </row>
    <row r="5" spans="1:6" ht="14.25">
      <c r="A5" s="224">
        <v>1</v>
      </c>
      <c r="B5" s="225" t="s">
        <v>425</v>
      </c>
      <c r="C5" s="225" t="s">
        <v>1466</v>
      </c>
      <c r="D5" s="225" t="s">
        <v>100</v>
      </c>
      <c r="E5" s="226">
        <f>'Form-Sb'!H206</f>
        <v>0</v>
      </c>
      <c r="F5" s="226">
        <f>'Form-Sb'!I206</f>
        <v>0</v>
      </c>
    </row>
    <row r="6" spans="1:6" ht="14.25">
      <c r="A6" s="407">
        <v>2</v>
      </c>
      <c r="B6" s="406" t="s">
        <v>427</v>
      </c>
      <c r="C6" s="225" t="s">
        <v>1477</v>
      </c>
      <c r="D6" s="406" t="s">
        <v>242</v>
      </c>
      <c r="E6" s="227">
        <f>'Form-Sb'!H480</f>
        <v>0</v>
      </c>
      <c r="F6" s="227">
        <f>'Form-Sb'!I480</f>
        <v>0</v>
      </c>
    </row>
    <row r="7" spans="1:6" ht="14.25">
      <c r="A7" s="407">
        <v>3</v>
      </c>
      <c r="B7" s="406" t="s">
        <v>378</v>
      </c>
      <c r="C7" s="225" t="s">
        <v>1491</v>
      </c>
      <c r="D7" s="406" t="s">
        <v>3</v>
      </c>
      <c r="E7" s="227">
        <f>'Form-Sb'!H491</f>
        <v>0</v>
      </c>
      <c r="F7" s="227">
        <f>'Form-Sb'!I491</f>
        <v>0</v>
      </c>
    </row>
    <row r="8" spans="1:6" ht="14.25">
      <c r="A8" s="407">
        <v>4</v>
      </c>
      <c r="B8" s="406" t="s">
        <v>379</v>
      </c>
      <c r="C8" s="225" t="s">
        <v>1492</v>
      </c>
      <c r="D8" s="406" t="s">
        <v>3</v>
      </c>
      <c r="E8" s="227">
        <f>'Form-Sb'!H492</f>
        <v>0</v>
      </c>
      <c r="F8" s="227">
        <f>'Form-Sb'!I492</f>
        <v>0</v>
      </c>
    </row>
    <row r="9" spans="1:6" ht="14.25">
      <c r="A9" s="407">
        <v>5</v>
      </c>
      <c r="B9" s="406" t="s">
        <v>380</v>
      </c>
      <c r="C9" s="225" t="s">
        <v>1493</v>
      </c>
      <c r="D9" s="406" t="s">
        <v>3</v>
      </c>
      <c r="E9" s="227">
        <f>'Form-Sb'!H493</f>
        <v>0</v>
      </c>
      <c r="F9" s="227">
        <f>'Form-Sb'!I493</f>
        <v>0</v>
      </c>
    </row>
    <row r="10" spans="1:6" ht="14.25">
      <c r="A10" s="407">
        <v>6</v>
      </c>
      <c r="B10" s="406" t="s">
        <v>381</v>
      </c>
      <c r="C10" s="225" t="s">
        <v>1494</v>
      </c>
      <c r="D10" s="406" t="s">
        <v>273</v>
      </c>
      <c r="E10" s="227">
        <f>'Form-Sb'!H494</f>
        <v>0</v>
      </c>
      <c r="F10" s="227">
        <f>'Form-Sb'!I494</f>
        <v>0</v>
      </c>
    </row>
    <row r="11" spans="1:6" ht="28.5">
      <c r="A11" s="407">
        <v>7</v>
      </c>
      <c r="B11" s="406" t="s">
        <v>428</v>
      </c>
      <c r="C11" s="19" t="s">
        <v>429</v>
      </c>
      <c r="D11" s="406" t="s">
        <v>3</v>
      </c>
      <c r="E11" s="228">
        <f>IF(E10=0,0,92.5-(50*E7+630*(E8+9*E9))/E10)</f>
        <v>0</v>
      </c>
      <c r="F11" s="228">
        <f>IF(F10=0,0,92.5-(50*F7+630*(F8+9*F9))/F10)</f>
        <v>0</v>
      </c>
    </row>
    <row r="12" spans="1:6" ht="14.25">
      <c r="A12" s="407">
        <v>8</v>
      </c>
      <c r="B12" s="19" t="s">
        <v>430</v>
      </c>
      <c r="C12" s="406" t="s">
        <v>1495</v>
      </c>
      <c r="D12" s="406" t="s">
        <v>242</v>
      </c>
      <c r="E12" s="227"/>
      <c r="F12" s="228">
        <f>IF(F11=0,0,E6*E11/F11)</f>
        <v>0</v>
      </c>
    </row>
    <row r="13" spans="1:6" ht="14.25">
      <c r="A13" s="407">
        <v>9</v>
      </c>
      <c r="B13" s="19" t="s">
        <v>431</v>
      </c>
      <c r="C13" s="406" t="s">
        <v>432</v>
      </c>
      <c r="D13" s="406" t="s">
        <v>242</v>
      </c>
      <c r="E13" s="227"/>
      <c r="F13" s="228">
        <f>IF(F12=0,0,F12-$E$6)</f>
        <v>0</v>
      </c>
    </row>
    <row r="14" spans="1:6" ht="28.5">
      <c r="A14" s="14">
        <v>10</v>
      </c>
      <c r="B14" s="23" t="s">
        <v>433</v>
      </c>
      <c r="C14" s="15" t="s">
        <v>1490</v>
      </c>
      <c r="D14" s="15" t="s">
        <v>234</v>
      </c>
      <c r="E14" s="229"/>
      <c r="F14" s="230">
        <f>IF(AND(E3="Yes",F3="Yes"),IF(F13*F5/10&gt;0,F13*F5/10,0),0)</f>
        <v>0</v>
      </c>
    </row>
    <row r="15" ht="14.25"/>
    <row r="16" ht="14.25"/>
    <row r="17" ht="14.25"/>
    <row r="18" ht="14.25"/>
  </sheetData>
  <sheetProtection password="FABB" sheet="1"/>
  <mergeCells count="4">
    <mergeCell ref="A1:F1"/>
    <mergeCell ref="A2:B2"/>
    <mergeCell ref="C2:F2"/>
    <mergeCell ref="A3:B3"/>
  </mergeCells>
  <printOptions horizontalCentered="1"/>
  <pageMargins left="0.11811023622047245" right="0.11811023622047245" top="0.7480314960629921" bottom="0.7480314960629921" header="0.31496062992125984" footer="0.31496062992125984"/>
  <pageSetup horizontalDpi="600" verticalDpi="600" orientation="landscape" paperSize="9" scale="95" r:id="rId1"/>
  <headerFooter>
    <oddFooter>&amp;C&amp;P&amp;RNote: Not to be quoted and not to be published without prior permission</oddFooter>
  </headerFooter>
</worksheet>
</file>

<file path=xl/worksheets/sheet11.xml><?xml version="1.0" encoding="utf-8"?>
<worksheet xmlns="http://schemas.openxmlformats.org/spreadsheetml/2006/main" xmlns:r="http://schemas.openxmlformats.org/officeDocument/2006/relationships">
  <dimension ref="A1:F14"/>
  <sheetViews>
    <sheetView zoomScalePageLayoutView="0" workbookViewId="0" topLeftCell="A1">
      <selection activeCell="B13" sqref="B13"/>
    </sheetView>
  </sheetViews>
  <sheetFormatPr defaultColWidth="0" defaultRowHeight="15" zeroHeight="1"/>
  <cols>
    <col min="1" max="1" width="5.8515625" style="28" customWidth="1"/>
    <col min="2" max="2" width="32.00390625" style="4" customWidth="1"/>
    <col min="3" max="3" width="28.421875" style="4" customWidth="1"/>
    <col min="4" max="4" width="17.140625" style="4" customWidth="1"/>
    <col min="5" max="5" width="13.140625" style="28" bestFit="1" customWidth="1"/>
    <col min="6" max="6" width="16.140625" style="24" bestFit="1" customWidth="1"/>
    <col min="7" max="16384" width="0" style="4" hidden="1" customWidth="1"/>
  </cols>
  <sheetData>
    <row r="1" spans="1:6" ht="23.25">
      <c r="A1" s="969" t="s">
        <v>445</v>
      </c>
      <c r="B1" s="969"/>
      <c r="C1" s="969"/>
      <c r="D1" s="969"/>
      <c r="E1" s="969"/>
      <c r="F1" s="969"/>
    </row>
    <row r="2" spans="1:6" ht="18">
      <c r="A2" s="976" t="str">
        <f>'NF-2 Fuel Quality in CPP'!A2:B2</f>
        <v>Name of the Unit</v>
      </c>
      <c r="B2" s="976"/>
      <c r="C2" s="976" t="str">
        <f>'NF-2 Fuel Quality in CPP'!C2:F2</f>
        <v>  </v>
      </c>
      <c r="D2" s="976"/>
      <c r="E2" s="976"/>
      <c r="F2" s="976"/>
    </row>
    <row r="3" spans="1:6" ht="14.25">
      <c r="A3" s="975" t="s">
        <v>839</v>
      </c>
      <c r="B3" s="975"/>
      <c r="C3" s="6" t="s">
        <v>698</v>
      </c>
      <c r="D3" s="6"/>
      <c r="E3" s="6" t="str">
        <f>'Form-Sb'!H526</f>
        <v>Yes</v>
      </c>
      <c r="F3" s="6" t="str">
        <f>'Form-Sb'!I526</f>
        <v>Yes</v>
      </c>
    </row>
    <row r="4" spans="1:6" ht="57">
      <c r="A4" s="16" t="s">
        <v>372</v>
      </c>
      <c r="B4" s="23" t="s">
        <v>392</v>
      </c>
      <c r="C4" s="23" t="s">
        <v>393</v>
      </c>
      <c r="D4" s="23" t="s">
        <v>394</v>
      </c>
      <c r="E4" s="252" t="str">
        <f>'Base line Parameters'!E5</f>
        <v>Baseline Year (Average of year1 to Year 3)</v>
      </c>
      <c r="F4" s="252" t="str">
        <f>'Base line Parameters'!F5</f>
        <v>Current/Assessment /Target Year    (20__-20__)</v>
      </c>
    </row>
    <row r="5" spans="1:6" ht="14.25">
      <c r="A5" s="407">
        <v>1</v>
      </c>
      <c r="B5" s="406" t="s">
        <v>434</v>
      </c>
      <c r="C5" s="406" t="s">
        <v>1483</v>
      </c>
      <c r="D5" s="406" t="s">
        <v>270</v>
      </c>
      <c r="E5" s="227">
        <f>'Form-Sb'!H9/10^5</f>
        <v>0</v>
      </c>
      <c r="F5" s="227">
        <f>'Form-Sb'!I9/10^5</f>
        <v>0</v>
      </c>
    </row>
    <row r="6" spans="1:6" ht="14.25">
      <c r="A6" s="407">
        <v>2</v>
      </c>
      <c r="B6" s="406" t="s">
        <v>435</v>
      </c>
      <c r="C6" s="713" t="s">
        <v>1484</v>
      </c>
      <c r="D6" s="406" t="s">
        <v>273</v>
      </c>
      <c r="E6" s="227">
        <f>'Form-Sb'!H484</f>
        <v>0</v>
      </c>
      <c r="F6" s="227">
        <f>'Form-Sb'!I484</f>
        <v>0</v>
      </c>
    </row>
    <row r="7" spans="1:6" ht="14.25">
      <c r="A7" s="407">
        <v>3</v>
      </c>
      <c r="B7" s="406" t="s">
        <v>436</v>
      </c>
      <c r="C7" s="713" t="s">
        <v>1485</v>
      </c>
      <c r="D7" s="406" t="s">
        <v>437</v>
      </c>
      <c r="E7" s="231">
        <f>'Form-Sb'!H485</f>
        <v>0</v>
      </c>
      <c r="F7" s="227">
        <f>'Form-Sb'!I485</f>
        <v>0</v>
      </c>
    </row>
    <row r="8" spans="1:6" ht="14.25">
      <c r="A8" s="407">
        <v>4</v>
      </c>
      <c r="B8" s="406" t="s">
        <v>397</v>
      </c>
      <c r="C8" s="713" t="s">
        <v>1486</v>
      </c>
      <c r="D8" s="406" t="s">
        <v>242</v>
      </c>
      <c r="E8" s="227">
        <f>'Base line Parameters'!E56</f>
        <v>0</v>
      </c>
      <c r="F8" s="227">
        <f>'Base line Parameters'!F56</f>
        <v>0</v>
      </c>
    </row>
    <row r="9" spans="1:6" ht="42.75">
      <c r="A9" s="407">
        <v>5</v>
      </c>
      <c r="B9" s="406" t="s">
        <v>438</v>
      </c>
      <c r="C9" s="19" t="s">
        <v>1487</v>
      </c>
      <c r="D9" s="406" t="s">
        <v>3</v>
      </c>
      <c r="E9" s="228">
        <f>IF('Form-Sb'!H362=0,0,'Form-Sb'!H267*100/('Form-Sb'!H475))</f>
        <v>0</v>
      </c>
      <c r="F9" s="228">
        <f>IF('Form-Sb'!I362=0,0,'Form-Sb'!I267*100/('Form-Sb'!I475))</f>
        <v>0</v>
      </c>
    </row>
    <row r="10" spans="1:6" ht="14.25">
      <c r="A10" s="407">
        <v>6</v>
      </c>
      <c r="B10" s="406" t="s">
        <v>439</v>
      </c>
      <c r="C10" s="232" t="s">
        <v>1488</v>
      </c>
      <c r="D10" s="406" t="s">
        <v>721</v>
      </c>
      <c r="E10" s="227"/>
      <c r="F10" s="298">
        <f>E6+0.0954*(F9-E9)</f>
        <v>0</v>
      </c>
    </row>
    <row r="11" spans="1:6" ht="14.25">
      <c r="A11" s="407">
        <v>7</v>
      </c>
      <c r="B11" s="406" t="s">
        <v>440</v>
      </c>
      <c r="C11" s="232" t="s">
        <v>1489</v>
      </c>
      <c r="D11" s="233" t="s">
        <v>724</v>
      </c>
      <c r="E11" s="227"/>
      <c r="F11" s="298">
        <f>E7+0.022*(F9-E9)</f>
        <v>0</v>
      </c>
    </row>
    <row r="12" spans="1:6" ht="14.25">
      <c r="A12" s="407">
        <v>8</v>
      </c>
      <c r="B12" s="19" t="s">
        <v>441</v>
      </c>
      <c r="C12" s="288" t="s">
        <v>723</v>
      </c>
      <c r="D12" s="406" t="s">
        <v>234</v>
      </c>
      <c r="E12" s="227"/>
      <c r="F12" s="298">
        <f>(F10-E6)*F5*100</f>
        <v>0</v>
      </c>
    </row>
    <row r="13" spans="1:6" ht="14.25">
      <c r="A13" s="407">
        <v>9</v>
      </c>
      <c r="B13" s="19" t="s">
        <v>442</v>
      </c>
      <c r="C13" s="288" t="s">
        <v>722</v>
      </c>
      <c r="D13" s="406" t="s">
        <v>426</v>
      </c>
      <c r="E13" s="227"/>
      <c r="F13" s="291">
        <f>(F11-E7)*F5/10</f>
        <v>0</v>
      </c>
    </row>
    <row r="14" spans="1:6" ht="49.5" customHeight="1">
      <c r="A14" s="14">
        <v>10</v>
      </c>
      <c r="B14" s="23" t="s">
        <v>443</v>
      </c>
      <c r="C14" s="15" t="s">
        <v>444</v>
      </c>
      <c r="D14" s="15" t="s">
        <v>234</v>
      </c>
      <c r="E14" s="229"/>
      <c r="F14" s="230">
        <f>IF(AND(E3="yes",F3="yes"),F12+F13*F8,0)</f>
        <v>0</v>
      </c>
    </row>
    <row r="15" ht="14.25"/>
    <row r="16" ht="14.25"/>
    <row r="17" ht="14.25" hidden="1"/>
    <row r="18" ht="14.25" hidden="1"/>
  </sheetData>
  <sheetProtection password="FABB" sheet="1"/>
  <mergeCells count="4">
    <mergeCell ref="A1:F1"/>
    <mergeCell ref="A2:B2"/>
    <mergeCell ref="C2:F2"/>
    <mergeCell ref="A3:B3"/>
  </mergeCells>
  <printOptions horizontalCentered="1"/>
  <pageMargins left="0.11811023622047245" right="0" top="0.7480314960629921" bottom="0.5511811023622047" header="0.31496062992125984" footer="0.31496062992125984"/>
  <pageSetup horizontalDpi="600" verticalDpi="600" orientation="landscape" paperSize="9" scale="96" r:id="rId1"/>
  <headerFooter>
    <oddFooter>&amp;C&amp;P&amp;RNote: Not to be quoted and not to be published without prior permission</oddFooter>
  </headerFooter>
</worksheet>
</file>

<file path=xl/worksheets/sheet12.xml><?xml version="1.0" encoding="utf-8"?>
<worksheet xmlns="http://schemas.openxmlformats.org/spreadsheetml/2006/main" xmlns:r="http://schemas.openxmlformats.org/officeDocument/2006/relationships">
  <dimension ref="A1:F13"/>
  <sheetViews>
    <sheetView zoomScalePageLayoutView="0" workbookViewId="0" topLeftCell="A1">
      <selection activeCell="B12" sqref="B12"/>
    </sheetView>
  </sheetViews>
  <sheetFormatPr defaultColWidth="0" defaultRowHeight="15" zeroHeight="1"/>
  <cols>
    <col min="1" max="1" width="9.140625" style="241" customWidth="1"/>
    <col min="2" max="2" width="26.7109375" style="241" customWidth="1"/>
    <col min="3" max="3" width="32.00390625" style="241" customWidth="1"/>
    <col min="4" max="4" width="12.140625" style="705" customWidth="1"/>
    <col min="5" max="5" width="11.57421875" style="241" customWidth="1"/>
    <col min="6" max="6" width="13.7109375" style="241" customWidth="1"/>
    <col min="7" max="16384" width="0" style="13" hidden="1" customWidth="1"/>
  </cols>
  <sheetData>
    <row r="1" spans="1:6" ht="23.25">
      <c r="A1" s="977" t="s">
        <v>446</v>
      </c>
      <c r="B1" s="978"/>
      <c r="C1" s="978"/>
      <c r="D1" s="978"/>
      <c r="E1" s="978"/>
      <c r="F1" s="979"/>
    </row>
    <row r="2" spans="1:6" s="234" customFormat="1" ht="18">
      <c r="A2" s="980" t="str">
        <f>'NF-3 Petcoke'!A2:B2</f>
        <v>Name of the Unit</v>
      </c>
      <c r="B2" s="981"/>
      <c r="C2" s="982" t="str">
        <f>'NF-3 Petcoke'!C2:F2</f>
        <v>  </v>
      </c>
      <c r="D2" s="982"/>
      <c r="E2" s="982"/>
      <c r="F2" s="983"/>
    </row>
    <row r="3" spans="1:6" s="4" customFormat="1" ht="14.25">
      <c r="A3" s="975" t="s">
        <v>839</v>
      </c>
      <c r="B3" s="975"/>
      <c r="C3" s="6" t="s">
        <v>698</v>
      </c>
      <c r="D3" s="222"/>
      <c r="E3" s="222" t="str">
        <f>'Form-Sb'!H527</f>
        <v>Yes</v>
      </c>
      <c r="F3" s="223" t="str">
        <f>'Form-Sb'!I527</f>
        <v>Yes</v>
      </c>
    </row>
    <row r="4" spans="1:6" ht="72">
      <c r="A4" s="235" t="s">
        <v>372</v>
      </c>
      <c r="B4" s="236" t="s">
        <v>447</v>
      </c>
      <c r="C4" s="236" t="s">
        <v>448</v>
      </c>
      <c r="D4" s="235" t="s">
        <v>2</v>
      </c>
      <c r="E4" s="604" t="str">
        <f>'Base line Parameters'!E5</f>
        <v>Baseline Year (Average of year1 to Year 3)</v>
      </c>
      <c r="F4" s="604" t="str">
        <f>'Base line Parameters'!F5</f>
        <v>Current/Assessment /Target Year    (20__-20__)</v>
      </c>
    </row>
    <row r="5" spans="1:6" ht="42.75">
      <c r="A5" s="2">
        <v>1</v>
      </c>
      <c r="B5" s="290" t="s">
        <v>1382</v>
      </c>
      <c r="C5" s="3" t="s">
        <v>1373</v>
      </c>
      <c r="D5" s="2" t="s">
        <v>3</v>
      </c>
      <c r="E5" s="237">
        <f>'Form-Sb'!H215</f>
        <v>0</v>
      </c>
      <c r="F5" s="237">
        <f>'Form-Sb'!I215</f>
        <v>0</v>
      </c>
    </row>
    <row r="6" spans="1:6" ht="14.25">
      <c r="A6" s="2">
        <v>2</v>
      </c>
      <c r="B6" s="3" t="s">
        <v>449</v>
      </c>
      <c r="C6" s="3" t="s">
        <v>1374</v>
      </c>
      <c r="D6" s="2" t="s">
        <v>242</v>
      </c>
      <c r="E6" s="237">
        <f>'Form-Sb'!H480</f>
        <v>0</v>
      </c>
      <c r="F6" s="237">
        <f>'Form-Sb'!I480</f>
        <v>0</v>
      </c>
    </row>
    <row r="7" spans="1:6" ht="14.25">
      <c r="A7" s="2">
        <v>3</v>
      </c>
      <c r="B7" s="3" t="s">
        <v>451</v>
      </c>
      <c r="C7" s="3" t="s">
        <v>1375</v>
      </c>
      <c r="D7" s="2" t="s">
        <v>1084</v>
      </c>
      <c r="E7" s="237"/>
      <c r="F7" s="237">
        <f>'Form-Sb'!I206</f>
        <v>0</v>
      </c>
    </row>
    <row r="8" spans="1:6" ht="14.25">
      <c r="A8" s="2">
        <v>4</v>
      </c>
      <c r="B8" s="3" t="s">
        <v>1380</v>
      </c>
      <c r="C8" s="3" t="s">
        <v>1376</v>
      </c>
      <c r="D8" s="2" t="s">
        <v>3</v>
      </c>
      <c r="E8" s="238">
        <f>0.0016*E5^2-0.3815*E5+21.959</f>
        <v>21.959</v>
      </c>
      <c r="F8" s="238">
        <f>0.0016*F5^2-0.3815*F5+21.959</f>
        <v>21.959</v>
      </c>
    </row>
    <row r="9" spans="1:6" ht="28.5">
      <c r="A9" s="2">
        <v>5</v>
      </c>
      <c r="B9" s="3" t="s">
        <v>1379</v>
      </c>
      <c r="C9" s="3" t="s">
        <v>1381</v>
      </c>
      <c r="D9" s="2" t="s">
        <v>3</v>
      </c>
      <c r="E9" s="237"/>
      <c r="F9" s="239">
        <f>F8-E8</f>
        <v>0</v>
      </c>
    </row>
    <row r="10" spans="1:6" ht="28.5">
      <c r="A10" s="2">
        <v>6</v>
      </c>
      <c r="B10" s="3" t="s">
        <v>1383</v>
      </c>
      <c r="C10" s="3" t="s">
        <v>1372</v>
      </c>
      <c r="D10" s="2" t="s">
        <v>3</v>
      </c>
      <c r="E10" s="237"/>
      <c r="F10" s="289">
        <f>'Form-Sb'!I216</f>
        <v>0</v>
      </c>
    </row>
    <row r="11" spans="1:6" ht="42.75">
      <c r="A11" s="2">
        <v>7</v>
      </c>
      <c r="B11" s="3" t="s">
        <v>1384</v>
      </c>
      <c r="C11" s="3" t="s">
        <v>1377</v>
      </c>
      <c r="D11" s="2" t="s">
        <v>3</v>
      </c>
      <c r="E11" s="237"/>
      <c r="F11" s="239">
        <f>F9*F10/100</f>
        <v>0</v>
      </c>
    </row>
    <row r="12" spans="1:6" ht="14.25">
      <c r="A12" s="2">
        <v>8</v>
      </c>
      <c r="B12" s="3" t="s">
        <v>450</v>
      </c>
      <c r="C12" s="3" t="s">
        <v>1378</v>
      </c>
      <c r="D12" s="2" t="s">
        <v>242</v>
      </c>
      <c r="E12" s="237"/>
      <c r="F12" s="237">
        <f>F6*(1-F11%)</f>
        <v>0</v>
      </c>
    </row>
    <row r="13" spans="1:6" ht="14.25">
      <c r="A13" s="16">
        <v>9</v>
      </c>
      <c r="B13" s="26" t="s">
        <v>452</v>
      </c>
      <c r="C13" s="26" t="s">
        <v>1099</v>
      </c>
      <c r="D13" s="16" t="s">
        <v>234</v>
      </c>
      <c r="E13" s="240"/>
      <c r="F13" s="240">
        <f>IF(AND(E3="yes",F3="yes"),IF(F9&gt;0,F7*(F6-F12)/10,0),0)</f>
        <v>0</v>
      </c>
    </row>
    <row r="14" ht="14.25"/>
    <row r="15" ht="14.25"/>
    <row r="16" ht="14.25"/>
    <row r="17" ht="14.25"/>
  </sheetData>
  <sheetProtection password="FABB" sheet="1"/>
  <mergeCells count="4">
    <mergeCell ref="A1:F1"/>
    <mergeCell ref="A2:B2"/>
    <mergeCell ref="C2:F2"/>
    <mergeCell ref="A3:B3"/>
  </mergeCells>
  <printOptions horizontalCentered="1"/>
  <pageMargins left="0.11811023622047245" right="0" top="0.7480314960629921" bottom="0.7480314960629921" header="0.31496062992125984" footer="0.31496062992125984"/>
  <pageSetup horizontalDpi="600" verticalDpi="600" orientation="landscape" scale="98" r:id="rId1"/>
  <headerFooter>
    <oddFooter>&amp;C&amp;P&amp;RNote: Not to be quoted and not to be published without prior permission</oddFooter>
  </headerFooter>
</worksheet>
</file>

<file path=xl/worksheets/sheet13.xml><?xml version="1.0" encoding="utf-8"?>
<worksheet xmlns="http://schemas.openxmlformats.org/spreadsheetml/2006/main" xmlns:r="http://schemas.openxmlformats.org/officeDocument/2006/relationships">
  <dimension ref="A1:F49"/>
  <sheetViews>
    <sheetView zoomScalePageLayoutView="0" workbookViewId="0" topLeftCell="A23">
      <selection activeCell="F25" sqref="F25"/>
    </sheetView>
  </sheetViews>
  <sheetFormatPr defaultColWidth="0" defaultRowHeight="15" zeroHeight="1"/>
  <cols>
    <col min="1" max="1" width="5.8515625" style="13" customWidth="1"/>
    <col min="2" max="2" width="30.140625" style="13" customWidth="1"/>
    <col min="3" max="3" width="28.421875" style="13" customWidth="1"/>
    <col min="4" max="4" width="14.140625" style="13" customWidth="1"/>
    <col min="5" max="5" width="16.140625" style="13" customWidth="1"/>
    <col min="6" max="6" width="17.28125" style="13" customWidth="1"/>
    <col min="7" max="16384" width="0" style="13" hidden="1" customWidth="1"/>
  </cols>
  <sheetData>
    <row r="1" spans="1:6" ht="23.25">
      <c r="A1" s="984" t="s">
        <v>454</v>
      </c>
      <c r="B1" s="984"/>
      <c r="C1" s="984"/>
      <c r="D1" s="984"/>
      <c r="E1" s="984"/>
      <c r="F1" s="984"/>
    </row>
    <row r="2" spans="1:6" s="234" customFormat="1" ht="18">
      <c r="A2" s="985" t="str">
        <f>'NF-4 PLF'!A2:B2</f>
        <v>Name of the Unit</v>
      </c>
      <c r="B2" s="986"/>
      <c r="C2" s="987" t="str">
        <f>'NF-4 PLF'!C2:F2</f>
        <v>  </v>
      </c>
      <c r="D2" s="988"/>
      <c r="E2" s="988"/>
      <c r="F2" s="989"/>
    </row>
    <row r="3" spans="1:6" s="234" customFormat="1" ht="18">
      <c r="A3" s="990" t="s">
        <v>839</v>
      </c>
      <c r="B3" s="990"/>
      <c r="C3" s="407" t="s">
        <v>698</v>
      </c>
      <c r="D3" s="602"/>
      <c r="E3" s="602" t="str">
        <f>'Form-Sb'!H528</f>
        <v>Yes</v>
      </c>
      <c r="F3" s="694" t="str">
        <f>'Form-Sb'!I528</f>
        <v>Yes</v>
      </c>
    </row>
    <row r="4" spans="1:6" s="705" customFormat="1" ht="28.5" customHeight="1">
      <c r="A4" s="16" t="s">
        <v>372</v>
      </c>
      <c r="B4" s="16" t="s">
        <v>392</v>
      </c>
      <c r="C4" s="16" t="s">
        <v>393</v>
      </c>
      <c r="D4" s="16" t="s">
        <v>394</v>
      </c>
      <c r="E4" s="252" t="str">
        <f>'Base line Parameters'!E5</f>
        <v>Baseline Year (Average of year1 to Year 3)</v>
      </c>
      <c r="F4" s="252" t="str">
        <f>'Base line Parameters'!F5</f>
        <v>Current/Assessment /Target Year    (20__-20__)</v>
      </c>
    </row>
    <row r="5" spans="1:6" s="244" customFormat="1" ht="14.25">
      <c r="A5" s="242">
        <v>1</v>
      </c>
      <c r="B5" s="242" t="s">
        <v>487</v>
      </c>
      <c r="C5" s="242" t="s">
        <v>111</v>
      </c>
      <c r="D5" s="30" t="s">
        <v>100</v>
      </c>
      <c r="E5" s="243">
        <f>E6+E7+E8+E9+E10</f>
        <v>0</v>
      </c>
      <c r="F5" s="243">
        <f>F6+F7+F8+F9+F10</f>
        <v>0</v>
      </c>
    </row>
    <row r="6" spans="1:6" ht="14.25">
      <c r="A6" s="17" t="s">
        <v>492</v>
      </c>
      <c r="B6" s="245" t="s">
        <v>474</v>
      </c>
      <c r="C6" s="17" t="s">
        <v>1464</v>
      </c>
      <c r="D6" s="17" t="s">
        <v>100</v>
      </c>
      <c r="E6" s="18">
        <f>'Form-Sb'!H111</f>
        <v>0</v>
      </c>
      <c r="F6" s="18">
        <f>'Form-Sb'!I111</f>
        <v>0</v>
      </c>
    </row>
    <row r="7" spans="1:6" ht="14.25">
      <c r="A7" s="246" t="s">
        <v>493</v>
      </c>
      <c r="B7" s="245" t="s">
        <v>488</v>
      </c>
      <c r="C7" s="713" t="s">
        <v>1465</v>
      </c>
      <c r="D7" s="17" t="s">
        <v>100</v>
      </c>
      <c r="E7" s="18">
        <f>'Form-Sb'!H118</f>
        <v>0</v>
      </c>
      <c r="F7" s="18">
        <f>'Form-Sb'!I118</f>
        <v>0</v>
      </c>
    </row>
    <row r="8" spans="1:6" ht="28.5">
      <c r="A8" s="17" t="s">
        <v>494</v>
      </c>
      <c r="B8" s="245" t="s">
        <v>476</v>
      </c>
      <c r="C8" s="713" t="s">
        <v>1466</v>
      </c>
      <c r="D8" s="17" t="s">
        <v>100</v>
      </c>
      <c r="E8" s="18">
        <f>'Form-Sb'!H206</f>
        <v>0</v>
      </c>
      <c r="F8" s="18">
        <f>'Form-Sb'!I206</f>
        <v>0</v>
      </c>
    </row>
    <row r="9" spans="1:6" ht="28.5">
      <c r="A9" s="17" t="s">
        <v>495</v>
      </c>
      <c r="B9" s="245" t="s">
        <v>477</v>
      </c>
      <c r="C9" s="713" t="s">
        <v>1467</v>
      </c>
      <c r="D9" s="17" t="s">
        <v>100</v>
      </c>
      <c r="E9" s="18">
        <f>'Form-Sb'!H220</f>
        <v>0</v>
      </c>
      <c r="F9" s="18">
        <f>'Form-Sb'!I220</f>
        <v>0</v>
      </c>
    </row>
    <row r="10" spans="1:6" ht="14.25">
      <c r="A10" s="17" t="s">
        <v>496</v>
      </c>
      <c r="B10" s="245" t="s">
        <v>478</v>
      </c>
      <c r="C10" s="713" t="s">
        <v>1468</v>
      </c>
      <c r="D10" s="17" t="s">
        <v>100</v>
      </c>
      <c r="E10" s="18">
        <f>'Form-Sb'!H228</f>
        <v>0</v>
      </c>
      <c r="F10" s="18">
        <f>'Form-Sb'!I228</f>
        <v>0</v>
      </c>
    </row>
    <row r="11" spans="1:6" ht="14.25">
      <c r="A11" s="747" t="s">
        <v>1517</v>
      </c>
      <c r="B11" s="245" t="s">
        <v>1518</v>
      </c>
      <c r="C11" s="747"/>
      <c r="D11" s="747" t="s">
        <v>100</v>
      </c>
      <c r="E11" s="18">
        <f>'Form-Sb'!H233</f>
        <v>0</v>
      </c>
      <c r="F11" s="18">
        <f>'Form-Sb'!I233</f>
        <v>0</v>
      </c>
    </row>
    <row r="12" spans="1:6" ht="14.25">
      <c r="A12" s="718"/>
      <c r="B12" s="719"/>
      <c r="C12" s="718"/>
      <c r="D12" s="718"/>
      <c r="E12" s="720"/>
      <c r="F12" s="720"/>
    </row>
    <row r="13" spans="1:6" ht="14.25">
      <c r="A13" s="17">
        <v>2</v>
      </c>
      <c r="B13" s="245" t="s">
        <v>475</v>
      </c>
      <c r="C13" s="713" t="s">
        <v>1469</v>
      </c>
      <c r="D13" s="17" t="s">
        <v>100</v>
      </c>
      <c r="E13" s="18">
        <f>'Form-Sb'!H240</f>
        <v>0</v>
      </c>
      <c r="F13" s="18">
        <f>'Form-Sb'!I240</f>
        <v>0</v>
      </c>
    </row>
    <row r="14" spans="1:6" s="722" customFormat="1" ht="14.25">
      <c r="A14" s="443"/>
      <c r="B14" s="721"/>
      <c r="C14" s="443"/>
      <c r="D14" s="443"/>
      <c r="E14" s="717"/>
      <c r="F14" s="717"/>
    </row>
    <row r="15" spans="1:6" s="244" customFormat="1" ht="28.5">
      <c r="A15" s="30">
        <v>3</v>
      </c>
      <c r="B15" s="247" t="s">
        <v>489</v>
      </c>
      <c r="C15" s="30" t="s">
        <v>1470</v>
      </c>
      <c r="D15" s="30" t="s">
        <v>100</v>
      </c>
      <c r="E15" s="249">
        <f>'Form-Sb'!H242</f>
        <v>0</v>
      </c>
      <c r="F15" s="249">
        <f>'Form-Sb'!I242</f>
        <v>0</v>
      </c>
    </row>
    <row r="16" spans="1:6" ht="14.25">
      <c r="A16" s="17" t="s">
        <v>497</v>
      </c>
      <c r="B16" s="245" t="s">
        <v>474</v>
      </c>
      <c r="C16" s="17" t="s">
        <v>1471</v>
      </c>
      <c r="D16" s="17" t="s">
        <v>100</v>
      </c>
      <c r="E16" s="18">
        <f>E6</f>
        <v>0</v>
      </c>
      <c r="F16" s="18">
        <f>F6</f>
        <v>0</v>
      </c>
    </row>
    <row r="17" spans="1:6" ht="14.25">
      <c r="A17" s="17" t="s">
        <v>498</v>
      </c>
      <c r="B17" s="245" t="s">
        <v>488</v>
      </c>
      <c r="C17" s="713" t="s">
        <v>1472</v>
      </c>
      <c r="D17" s="17" t="s">
        <v>100</v>
      </c>
      <c r="E17" s="18">
        <f>IF(AND(E7&gt;E8,E7&gt;E9,E7&gt;E10),E7-E13,E7)</f>
        <v>0</v>
      </c>
      <c r="F17" s="18">
        <f>IF(AND(F7&gt;F8,F7&gt;F9,F7&gt;F10),F7-F13,F7)</f>
        <v>0</v>
      </c>
    </row>
    <row r="18" spans="1:6" ht="28.5">
      <c r="A18" s="17" t="s">
        <v>499</v>
      </c>
      <c r="B18" s="245" t="s">
        <v>1135</v>
      </c>
      <c r="C18" s="19" t="s">
        <v>1508</v>
      </c>
      <c r="D18" s="17" t="s">
        <v>100</v>
      </c>
      <c r="E18" s="754">
        <f>IF(AND(E8&gt;E7,E8&gt;E9,E8&gt;E10),E8-E13,E8)</f>
        <v>0</v>
      </c>
      <c r="F18" s="754">
        <f>IF(AND(F8&gt;F7,F8&gt;F9,F8&gt;F10),F8-F13,F8)</f>
        <v>0</v>
      </c>
    </row>
    <row r="19" spans="1:6" ht="28.5">
      <c r="A19" s="17" t="s">
        <v>500</v>
      </c>
      <c r="B19" s="245" t="s">
        <v>491</v>
      </c>
      <c r="C19" s="19" t="s">
        <v>1473</v>
      </c>
      <c r="D19" s="17" t="s">
        <v>100</v>
      </c>
      <c r="E19" s="18">
        <f>IF(AND(E9&gt;E7,E9&gt;E8,E9&gt;E10),E9-E13,E9)</f>
        <v>0</v>
      </c>
      <c r="F19" s="18">
        <f>IF(AND(F9&gt;F7,F9&gt;F8,F9&gt;F10),F9-F13,F9)</f>
        <v>0</v>
      </c>
    </row>
    <row r="20" spans="1:6" ht="28.5">
      <c r="A20" s="17" t="s">
        <v>501</v>
      </c>
      <c r="B20" s="245" t="s">
        <v>490</v>
      </c>
      <c r="C20" s="19" t="s">
        <v>1474</v>
      </c>
      <c r="D20" s="17" t="s">
        <v>100</v>
      </c>
      <c r="E20" s="18">
        <f>IF(AND(E10&gt;E7,E10&gt;E8,E10&gt;E9),E10-E13,E10)</f>
        <v>0</v>
      </c>
      <c r="F20" s="18">
        <f>IF(AND(F10&gt;F7,F10&gt;F8,F10&gt;F9),F10-F13,F10)</f>
        <v>0</v>
      </c>
    </row>
    <row r="21" spans="1:6" ht="28.5">
      <c r="A21" s="747" t="s">
        <v>1519</v>
      </c>
      <c r="B21" s="245" t="s">
        <v>1520</v>
      </c>
      <c r="C21" s="19"/>
      <c r="D21" s="747" t="s">
        <v>100</v>
      </c>
      <c r="E21" s="18">
        <f>E11</f>
        <v>0</v>
      </c>
      <c r="F21" s="18">
        <f>F11</f>
        <v>0</v>
      </c>
    </row>
    <row r="22" spans="1:6" s="722" customFormat="1" ht="14.25">
      <c r="A22" s="443"/>
      <c r="B22" s="721"/>
      <c r="C22" s="723"/>
      <c r="D22" s="443"/>
      <c r="E22" s="717"/>
      <c r="F22" s="717"/>
    </row>
    <row r="23" spans="1:6" s="244" customFormat="1" ht="28.5">
      <c r="A23" s="30">
        <v>4</v>
      </c>
      <c r="B23" s="247" t="s">
        <v>695</v>
      </c>
      <c r="C23" s="248" t="s">
        <v>1482</v>
      </c>
      <c r="D23" s="30" t="s">
        <v>100</v>
      </c>
      <c r="E23" s="249">
        <f>E15-E20</f>
        <v>0</v>
      </c>
      <c r="F23" s="249">
        <f>F15-F20</f>
        <v>0</v>
      </c>
    </row>
    <row r="24" spans="1:6" ht="14.25">
      <c r="A24" s="246">
        <v>5</v>
      </c>
      <c r="B24" s="17" t="s">
        <v>455</v>
      </c>
      <c r="C24" s="19" t="s">
        <v>1475</v>
      </c>
      <c r="D24" s="17" t="s">
        <v>242</v>
      </c>
      <c r="E24" s="18">
        <f>'Base line Parameters'!E70</f>
        <v>3208</v>
      </c>
      <c r="F24" s="18">
        <f>'Base line Parameters'!F70</f>
        <v>3208</v>
      </c>
    </row>
    <row r="25" spans="1:6" ht="14.25">
      <c r="A25" s="17">
        <v>6</v>
      </c>
      <c r="B25" s="17" t="s">
        <v>456</v>
      </c>
      <c r="C25" s="713" t="s">
        <v>1476</v>
      </c>
      <c r="D25" s="17" t="s">
        <v>242</v>
      </c>
      <c r="E25" s="18">
        <f>'Form-Sb'!H479</f>
        <v>0</v>
      </c>
      <c r="F25" s="291">
        <f>IF(F39&lt;1,E25,'Form-Sb'!I479)</f>
        <v>0</v>
      </c>
    </row>
    <row r="26" spans="1:6" ht="14.25">
      <c r="A26" s="17">
        <v>7</v>
      </c>
      <c r="B26" s="17" t="s">
        <v>481</v>
      </c>
      <c r="C26" s="713" t="s">
        <v>1477</v>
      </c>
      <c r="D26" s="17" t="s">
        <v>242</v>
      </c>
      <c r="E26" s="18">
        <f>'Form-Sb'!H480</f>
        <v>0</v>
      </c>
      <c r="F26" s="291">
        <f>IF(F40=0,E26,'Form-Sb'!I480)</f>
        <v>0</v>
      </c>
    </row>
    <row r="27" spans="1:6" ht="14.25">
      <c r="A27" s="17">
        <v>8</v>
      </c>
      <c r="B27" s="17" t="s">
        <v>482</v>
      </c>
      <c r="C27" s="713" t="s">
        <v>1478</v>
      </c>
      <c r="D27" s="17" t="s">
        <v>242</v>
      </c>
      <c r="E27" s="18">
        <f>'Form-Sb'!H481</f>
        <v>0</v>
      </c>
      <c r="F27" s="291">
        <f>IF(F41=0,E27,'Form-Sb'!I481)</f>
        <v>0</v>
      </c>
    </row>
    <row r="28" spans="1:6" ht="14.25">
      <c r="A28" s="747">
        <v>9</v>
      </c>
      <c r="B28" s="747" t="s">
        <v>1521</v>
      </c>
      <c r="C28" s="747"/>
      <c r="D28" s="747" t="s">
        <v>242</v>
      </c>
      <c r="E28" s="18">
        <f>'Form-Sb'!H234</f>
        <v>0</v>
      </c>
      <c r="F28" s="18">
        <f>'Form-Sb'!I234</f>
        <v>0</v>
      </c>
    </row>
    <row r="29" spans="1:6" ht="14.25">
      <c r="A29" s="747">
        <v>10</v>
      </c>
      <c r="B29" s="19" t="s">
        <v>457</v>
      </c>
      <c r="C29" s="19" t="s">
        <v>1479</v>
      </c>
      <c r="D29" s="17" t="s">
        <v>242</v>
      </c>
      <c r="E29" s="18">
        <f>'Base line Parameters'!E69</f>
        <v>2717</v>
      </c>
      <c r="F29" s="18">
        <f>'Base line Parameters'!F69</f>
        <v>2717</v>
      </c>
    </row>
    <row r="30" spans="1:6" ht="14.25">
      <c r="A30" s="443"/>
      <c r="B30" s="723"/>
      <c r="C30" s="443"/>
      <c r="D30" s="443"/>
      <c r="E30" s="717"/>
      <c r="F30" s="717"/>
    </row>
    <row r="31" spans="1:6" ht="14.25">
      <c r="A31" s="17">
        <v>11</v>
      </c>
      <c r="B31" s="19" t="s">
        <v>479</v>
      </c>
      <c r="C31" s="713" t="s">
        <v>1480</v>
      </c>
      <c r="D31" s="17" t="s">
        <v>3</v>
      </c>
      <c r="E31" s="18">
        <f>'Form-Sb'!H207</f>
        <v>0</v>
      </c>
      <c r="F31" s="18">
        <f>'Form-Sb'!I207</f>
        <v>0</v>
      </c>
    </row>
    <row r="32" spans="1:6" ht="14.25">
      <c r="A32" s="747">
        <v>12</v>
      </c>
      <c r="B32" s="19" t="s">
        <v>480</v>
      </c>
      <c r="C32" s="713" t="s">
        <v>1481</v>
      </c>
      <c r="D32" s="17" t="s">
        <v>3</v>
      </c>
      <c r="E32" s="18">
        <f>'Form-Sb'!H221</f>
        <v>0</v>
      </c>
      <c r="F32" s="18">
        <f>'Form-Sb'!I221</f>
        <v>0</v>
      </c>
    </row>
    <row r="33" spans="1:6" ht="14.25">
      <c r="A33" s="443"/>
      <c r="B33" s="723"/>
      <c r="C33" s="443"/>
      <c r="D33" s="443"/>
      <c r="E33" s="717"/>
      <c r="F33" s="717"/>
    </row>
    <row r="34" spans="1:6" ht="14.25">
      <c r="A34" s="17">
        <v>13</v>
      </c>
      <c r="B34" s="17" t="s">
        <v>483</v>
      </c>
      <c r="C34" s="17" t="s">
        <v>1523</v>
      </c>
      <c r="D34" s="17" t="s">
        <v>242</v>
      </c>
      <c r="E34" s="18">
        <f>E26/(1-E31/100)</f>
        <v>0</v>
      </c>
      <c r="F34" s="18">
        <f>F26/(1-F31/100)</f>
        <v>0</v>
      </c>
    </row>
    <row r="35" spans="1:6" ht="14.25">
      <c r="A35" s="747">
        <v>14</v>
      </c>
      <c r="B35" s="17" t="s">
        <v>484</v>
      </c>
      <c r="C35" s="713" t="s">
        <v>1524</v>
      </c>
      <c r="D35" s="17" t="s">
        <v>242</v>
      </c>
      <c r="E35" s="18">
        <f>E27/(1-E32/100)</f>
        <v>0</v>
      </c>
      <c r="F35" s="18">
        <f>F27/(1-F32/100)</f>
        <v>0</v>
      </c>
    </row>
    <row r="36" spans="1:6" ht="14.25">
      <c r="A36" s="747">
        <v>15</v>
      </c>
      <c r="B36" s="747" t="s">
        <v>1521</v>
      </c>
      <c r="C36" s="755" t="s">
        <v>1525</v>
      </c>
      <c r="D36" s="747" t="s">
        <v>242</v>
      </c>
      <c r="E36" s="18">
        <f>E28</f>
        <v>0</v>
      </c>
      <c r="F36" s="18">
        <f>F28</f>
        <v>0</v>
      </c>
    </row>
    <row r="37" spans="1:6" ht="14.25">
      <c r="A37" s="443"/>
      <c r="B37" s="443"/>
      <c r="C37" s="443"/>
      <c r="D37" s="443"/>
      <c r="E37" s="717"/>
      <c r="F37" s="717"/>
    </row>
    <row r="38" spans="1:6" ht="14.25">
      <c r="A38" s="246">
        <v>16</v>
      </c>
      <c r="B38" s="19" t="s">
        <v>458</v>
      </c>
      <c r="C38" s="17" t="s">
        <v>1203</v>
      </c>
      <c r="D38" s="17" t="s">
        <v>3</v>
      </c>
      <c r="E38" s="250">
        <f>_xlfn.IFERROR((E16*100/$E$23),0)</f>
        <v>0</v>
      </c>
      <c r="F38" s="250">
        <f>_xlfn.IFERROR((F16*100/$F$23),0)</f>
        <v>0</v>
      </c>
    </row>
    <row r="39" spans="1:6" ht="14.25">
      <c r="A39" s="246">
        <v>17</v>
      </c>
      <c r="B39" s="19" t="s">
        <v>459</v>
      </c>
      <c r="C39" s="17" t="s">
        <v>1204</v>
      </c>
      <c r="D39" s="17" t="s">
        <v>3</v>
      </c>
      <c r="E39" s="250">
        <f>_xlfn.IFERROR((E17*100/$E$23),0)</f>
        <v>0</v>
      </c>
      <c r="F39" s="250">
        <f>_xlfn.IFERROR((F17*100/$F$23),0)</f>
        <v>0</v>
      </c>
    </row>
    <row r="40" spans="1:6" ht="14.25">
      <c r="A40" s="246">
        <v>18</v>
      </c>
      <c r="B40" s="19" t="s">
        <v>485</v>
      </c>
      <c r="C40" s="17" t="s">
        <v>1205</v>
      </c>
      <c r="D40" s="17" t="s">
        <v>3</v>
      </c>
      <c r="E40" s="250">
        <f>_xlfn.IFERROR((E18*100/$E$23),0)</f>
        <v>0</v>
      </c>
      <c r="F40" s="250">
        <f>_xlfn.IFERROR((F18*100/$F$23),0)</f>
        <v>0</v>
      </c>
    </row>
    <row r="41" spans="1:6" ht="14.25">
      <c r="A41" s="246">
        <v>19</v>
      </c>
      <c r="B41" s="19" t="s">
        <v>486</v>
      </c>
      <c r="C41" s="17" t="s">
        <v>1206</v>
      </c>
      <c r="D41" s="17" t="s">
        <v>3</v>
      </c>
      <c r="E41" s="250">
        <f>_xlfn.IFERROR((E19*100/$E$23),0)</f>
        <v>0</v>
      </c>
      <c r="F41" s="250">
        <f>_xlfn.IFERROR((F19*100/$F$23),0)</f>
        <v>0</v>
      </c>
    </row>
    <row r="42" spans="1:6" ht="14.25">
      <c r="A42" s="246">
        <v>20</v>
      </c>
      <c r="B42" s="19" t="s">
        <v>1526</v>
      </c>
      <c r="C42" s="747" t="s">
        <v>1527</v>
      </c>
      <c r="D42" s="747" t="s">
        <v>3</v>
      </c>
      <c r="E42" s="250">
        <f>_xlfn.IFERROR((E21*100/$E$23),0)</f>
        <v>0</v>
      </c>
      <c r="F42" s="250">
        <f>_xlfn.IFERROR((F21*100/$F$23),0)</f>
        <v>0</v>
      </c>
    </row>
    <row r="43" spans="1:6" ht="14.25">
      <c r="A43" s="443"/>
      <c r="B43" s="723"/>
      <c r="C43" s="443"/>
      <c r="D43" s="443"/>
      <c r="E43" s="724"/>
      <c r="F43" s="724"/>
    </row>
    <row r="44" spans="1:6" ht="28.5">
      <c r="A44" s="246">
        <v>21</v>
      </c>
      <c r="B44" s="17" t="s">
        <v>1123</v>
      </c>
      <c r="C44" s="19" t="s">
        <v>1529</v>
      </c>
      <c r="D44" s="17" t="s">
        <v>242</v>
      </c>
      <c r="E44" s="18">
        <f>_xlfn.IFERROR((E16*E24+E17*E25+E18*E26+E19*E27+E21*E28)/E23,0)</f>
        <v>0</v>
      </c>
      <c r="F44" s="18">
        <f>_xlfn.IFERROR((F16*F24+F17*F25+F18*F26+F19*F27+F21*F28)/F23,0)</f>
        <v>0</v>
      </c>
    </row>
    <row r="45" spans="1:6" ht="42.75">
      <c r="A45" s="17">
        <v>22</v>
      </c>
      <c r="B45" s="17" t="s">
        <v>1124</v>
      </c>
      <c r="C45" s="19" t="s">
        <v>1528</v>
      </c>
      <c r="D45" s="17" t="s">
        <v>242</v>
      </c>
      <c r="E45" s="18"/>
      <c r="F45" s="18">
        <f>(F24*$E$38+F25*$E$39+F26*$E$40+F27*$E$41+F28*E42)/100</f>
        <v>0</v>
      </c>
    </row>
    <row r="46" spans="1:6" ht="14.25">
      <c r="A46" s="443"/>
      <c r="B46" s="443"/>
      <c r="C46" s="723"/>
      <c r="D46" s="443"/>
      <c r="E46" s="717"/>
      <c r="F46" s="717"/>
    </row>
    <row r="47" spans="1:6" ht="28.5">
      <c r="A47" s="725">
        <v>23</v>
      </c>
      <c r="B47" s="726" t="s">
        <v>460</v>
      </c>
      <c r="C47" s="726" t="s">
        <v>1530</v>
      </c>
      <c r="D47" s="725" t="s">
        <v>234</v>
      </c>
      <c r="E47" s="294"/>
      <c r="F47" s="294">
        <f>F23*(F44-F45)/10</f>
        <v>0</v>
      </c>
    </row>
    <row r="48" spans="1:6" ht="28.5">
      <c r="A48" s="725">
        <v>24</v>
      </c>
      <c r="B48" s="726" t="s">
        <v>461</v>
      </c>
      <c r="C48" s="726" t="s">
        <v>1531</v>
      </c>
      <c r="D48" s="725" t="s">
        <v>234</v>
      </c>
      <c r="E48" s="294"/>
      <c r="F48" s="294">
        <f>(F13-E13)*(F34-F29)/10</f>
        <v>0</v>
      </c>
    </row>
    <row r="49" spans="1:6" ht="28.5">
      <c r="A49" s="727">
        <v>25</v>
      </c>
      <c r="B49" s="728" t="s">
        <v>462</v>
      </c>
      <c r="C49" s="727" t="s">
        <v>1532</v>
      </c>
      <c r="D49" s="727" t="s">
        <v>234</v>
      </c>
      <c r="E49" s="729"/>
      <c r="F49" s="729">
        <f>F47+F48</f>
        <v>0</v>
      </c>
    </row>
    <row r="50" ht="14.25"/>
    <row r="51" ht="14.25"/>
    <row r="52" ht="14.25"/>
    <row r="53" ht="14.25"/>
    <row r="54" ht="14.25"/>
  </sheetData>
  <sheetProtection password="FABB" sheet="1"/>
  <mergeCells count="4">
    <mergeCell ref="A1:F1"/>
    <mergeCell ref="A2:B2"/>
    <mergeCell ref="C2:F2"/>
    <mergeCell ref="A3:B3"/>
  </mergeCells>
  <printOptions horizontalCentered="1"/>
  <pageMargins left="0.11811023622047245" right="0" top="0.35433070866141736" bottom="0.3937007874015748" header="0.31496062992125984" footer="0.31496062992125984"/>
  <pageSetup horizontalDpi="600" verticalDpi="600" orientation="landscape" paperSize="9" scale="89" r:id="rId1"/>
  <headerFooter>
    <oddFooter>&amp;C&amp;P&amp;RNote: Not to be quoted and not to be published without prior permission</oddFooter>
  </headerFooter>
</worksheet>
</file>

<file path=xl/worksheets/sheet14.xml><?xml version="1.0" encoding="utf-8"?>
<worksheet xmlns="http://schemas.openxmlformats.org/spreadsheetml/2006/main" xmlns:r="http://schemas.openxmlformats.org/officeDocument/2006/relationships">
  <dimension ref="A1:F32"/>
  <sheetViews>
    <sheetView zoomScale="80" zoomScaleNormal="80" zoomScalePageLayoutView="0" workbookViewId="0" topLeftCell="A1">
      <selection activeCell="F11" sqref="F11"/>
    </sheetView>
  </sheetViews>
  <sheetFormatPr defaultColWidth="0" defaultRowHeight="15" zeroHeight="1"/>
  <cols>
    <col min="1" max="1" width="5.8515625" style="258" customWidth="1"/>
    <col min="2" max="2" width="27.140625" style="259" customWidth="1"/>
    <col min="3" max="3" width="28.421875" style="259" customWidth="1"/>
    <col min="4" max="4" width="14.140625" style="259" customWidth="1"/>
    <col min="5" max="5" width="17.28125" style="259" customWidth="1"/>
    <col min="6" max="6" width="16.421875" style="259" customWidth="1"/>
    <col min="7" max="16384" width="0" style="13" hidden="1" customWidth="1"/>
  </cols>
  <sheetData>
    <row r="1" spans="1:6" ht="23.25">
      <c r="A1" s="991" t="s">
        <v>463</v>
      </c>
      <c r="B1" s="991"/>
      <c r="C1" s="991"/>
      <c r="D1" s="991"/>
      <c r="E1" s="991"/>
      <c r="F1" s="991"/>
    </row>
    <row r="2" spans="1:6" s="234" customFormat="1" ht="18">
      <c r="A2" s="992" t="str">
        <f>'NF-5 Power Mix'!A2:B2</f>
        <v>Name of the Unit</v>
      </c>
      <c r="B2" s="992"/>
      <c r="C2" s="992" t="str">
        <f>'NF-5 Power Mix'!C2:F2</f>
        <v>  </v>
      </c>
      <c r="D2" s="992"/>
      <c r="E2" s="992"/>
      <c r="F2" s="992"/>
    </row>
    <row r="3" spans="1:6" s="234" customFormat="1" ht="18">
      <c r="A3" s="990" t="s">
        <v>839</v>
      </c>
      <c r="B3" s="990"/>
      <c r="C3" s="407" t="s">
        <v>698</v>
      </c>
      <c r="D3" s="407"/>
      <c r="E3" s="407" t="str">
        <f>'Form-Sb'!H529</f>
        <v>Yes</v>
      </c>
      <c r="F3" s="407" t="str">
        <f>'Form-Sb'!I529</f>
        <v>Yes</v>
      </c>
    </row>
    <row r="4" spans="1:6" s="241" customFormat="1" ht="27" customHeight="1">
      <c r="A4" s="240" t="s">
        <v>372</v>
      </c>
      <c r="B4" s="251" t="s">
        <v>392</v>
      </c>
      <c r="C4" s="251" t="s">
        <v>393</v>
      </c>
      <c r="D4" s="251" t="s">
        <v>394</v>
      </c>
      <c r="E4" s="252" t="str">
        <f>'Base line Parameters'!E5</f>
        <v>Baseline Year (Average of year1 to Year 3)</v>
      </c>
      <c r="F4" s="252" t="str">
        <f>'Base line Parameters'!F5</f>
        <v>Current/Assessment /Target Year    (20__-20__)</v>
      </c>
    </row>
    <row r="5" spans="1:6" ht="14.25">
      <c r="A5" s="228">
        <v>1</v>
      </c>
      <c r="B5" s="253" t="s">
        <v>434</v>
      </c>
      <c r="C5" s="253" t="s">
        <v>1448</v>
      </c>
      <c r="D5" s="253" t="s">
        <v>464</v>
      </c>
      <c r="E5" s="18">
        <f>'Summary Sheet'!E7</f>
        <v>0</v>
      </c>
      <c r="F5" s="18">
        <f>'Summary Sheet'!F7</f>
        <v>0</v>
      </c>
    </row>
    <row r="6" spans="1:6" ht="14.25">
      <c r="A6" s="228">
        <v>2</v>
      </c>
      <c r="B6" s="253" t="s">
        <v>465</v>
      </c>
      <c r="C6" s="253" t="s">
        <v>1449</v>
      </c>
      <c r="D6" s="253" t="s">
        <v>464</v>
      </c>
      <c r="E6" s="18">
        <f>'Summary Sheet'!E8</f>
        <v>0</v>
      </c>
      <c r="F6" s="18">
        <f>'Summary Sheet'!F8</f>
        <v>0</v>
      </c>
    </row>
    <row r="7" spans="1:6" ht="14.25">
      <c r="A7" s="228">
        <v>3</v>
      </c>
      <c r="B7" s="253" t="s">
        <v>81</v>
      </c>
      <c r="C7" s="253" t="s">
        <v>1450</v>
      </c>
      <c r="D7" s="253" t="s">
        <v>464</v>
      </c>
      <c r="E7" s="18">
        <f>'Summary Sheet'!E15</f>
        <v>0</v>
      </c>
      <c r="F7" s="18">
        <f>'Summary Sheet'!F15</f>
        <v>0</v>
      </c>
    </row>
    <row r="8" spans="1:6" ht="14.25">
      <c r="A8" s="228">
        <v>4</v>
      </c>
      <c r="B8" s="253" t="s">
        <v>82</v>
      </c>
      <c r="C8" s="253" t="s">
        <v>1451</v>
      </c>
      <c r="D8" s="253" t="s">
        <v>464</v>
      </c>
      <c r="E8" s="18">
        <f>'Summary Sheet'!E16</f>
        <v>0</v>
      </c>
      <c r="F8" s="18">
        <f>'Summary Sheet'!F16</f>
        <v>0</v>
      </c>
    </row>
    <row r="9" spans="1:6" ht="14.25">
      <c r="A9" s="228">
        <v>5</v>
      </c>
      <c r="B9" s="253" t="s">
        <v>466</v>
      </c>
      <c r="C9" s="253" t="s">
        <v>1452</v>
      </c>
      <c r="D9" s="253" t="s">
        <v>464</v>
      </c>
      <c r="E9" s="18">
        <f>'Summary Sheet'!E17</f>
        <v>0</v>
      </c>
      <c r="F9" s="18">
        <f>'Summary Sheet'!F17</f>
        <v>0</v>
      </c>
    </row>
    <row r="10" spans="1:6" ht="14.25">
      <c r="A10" s="714"/>
      <c r="B10" s="716"/>
      <c r="C10" s="716"/>
      <c r="D10" s="716"/>
      <c r="E10" s="717"/>
      <c r="F10" s="717"/>
    </row>
    <row r="11" spans="1:6" ht="28.5">
      <c r="A11" s="228">
        <v>6</v>
      </c>
      <c r="B11" s="253" t="s">
        <v>502</v>
      </c>
      <c r="C11" s="254" t="s">
        <v>1453</v>
      </c>
      <c r="D11" s="253" t="s">
        <v>138</v>
      </c>
      <c r="E11" s="298">
        <f>IF('Form-Sb'!H26=0,'Form-Sb'!I26,'Form-Sb'!H26+('Form-Sb'!H25/'Form-Sb'!H17))</f>
        <v>0</v>
      </c>
      <c r="F11" s="298">
        <f>IF('Form-Sb'!I26=0,'Form-Sb'!H26,'Form-Sb'!I26+('Form-Sb'!I25/'Form-Sb'!I17))</f>
        <v>0</v>
      </c>
    </row>
    <row r="12" spans="1:6" ht="28.5">
      <c r="A12" s="228">
        <v>7</v>
      </c>
      <c r="B12" s="253" t="s">
        <v>503</v>
      </c>
      <c r="C12" s="254" t="s">
        <v>228</v>
      </c>
      <c r="D12" s="253" t="s">
        <v>138</v>
      </c>
      <c r="E12" s="297">
        <f>IF(E8=0,0,'Form-Sb'!H27)</f>
        <v>0</v>
      </c>
      <c r="F12" s="297">
        <f>IF(F8=0,0,'Form-Sb'!I27)</f>
        <v>0</v>
      </c>
    </row>
    <row r="13" spans="1:6" ht="28.5">
      <c r="A13" s="228">
        <v>8</v>
      </c>
      <c r="B13" s="254" t="s">
        <v>835</v>
      </c>
      <c r="C13" s="254" t="s">
        <v>229</v>
      </c>
      <c r="D13" s="253" t="s">
        <v>138</v>
      </c>
      <c r="E13" s="297">
        <f>IF(E9=0,0,'Form-Sb'!H28)</f>
        <v>0</v>
      </c>
      <c r="F13" s="297">
        <f>IF(F9=0,0,'Form-Sb'!I28)</f>
        <v>0</v>
      </c>
    </row>
    <row r="14" spans="1:6" ht="14.25">
      <c r="A14" s="756"/>
      <c r="B14" s="757"/>
      <c r="C14" s="757"/>
      <c r="D14" s="716"/>
      <c r="E14" s="758"/>
      <c r="F14" s="758"/>
    </row>
    <row r="15" spans="1:6" ht="33.75" customHeight="1">
      <c r="A15" s="255">
        <v>9</v>
      </c>
      <c r="B15" s="256" t="s">
        <v>147</v>
      </c>
      <c r="C15" s="253" t="s">
        <v>1454</v>
      </c>
      <c r="D15" s="253" t="s">
        <v>464</v>
      </c>
      <c r="E15" s="18">
        <f>'Summary Sheet'!E38</f>
        <v>0</v>
      </c>
      <c r="F15" s="18">
        <f>'Summary Sheet'!F38</f>
        <v>0</v>
      </c>
    </row>
    <row r="16" spans="1:6" ht="28.5">
      <c r="A16" s="228">
        <v>10</v>
      </c>
      <c r="B16" s="254" t="s">
        <v>253</v>
      </c>
      <c r="C16" s="253" t="s">
        <v>1455</v>
      </c>
      <c r="D16" s="253" t="s">
        <v>464</v>
      </c>
      <c r="E16" s="18">
        <f>'Summary Sheet'!E36</f>
        <v>0</v>
      </c>
      <c r="F16" s="18">
        <f>'Summary Sheet'!F36</f>
        <v>0</v>
      </c>
    </row>
    <row r="17" spans="1:6" ht="14.25">
      <c r="A17" s="714"/>
      <c r="B17" s="757"/>
      <c r="C17" s="716"/>
      <c r="D17" s="759"/>
      <c r="E17" s="717"/>
      <c r="F17" s="717"/>
    </row>
    <row r="18" spans="1:6" ht="14.25">
      <c r="A18" s="228">
        <v>11</v>
      </c>
      <c r="B18" s="48" t="s">
        <v>149</v>
      </c>
      <c r="C18" s="253" t="s">
        <v>1456</v>
      </c>
      <c r="D18" s="47" t="s">
        <v>272</v>
      </c>
      <c r="E18" s="18">
        <f>'Summary Sheet'!E40</f>
        <v>0</v>
      </c>
      <c r="F18" s="18">
        <f>'Summary Sheet'!F40</f>
        <v>0</v>
      </c>
    </row>
    <row r="19" spans="1:6" ht="28.5">
      <c r="A19" s="228">
        <v>12</v>
      </c>
      <c r="B19" s="48" t="s">
        <v>718</v>
      </c>
      <c r="C19" s="253" t="s">
        <v>1457</v>
      </c>
      <c r="D19" s="47" t="s">
        <v>151</v>
      </c>
      <c r="E19" s="18">
        <f>'Summary Sheet'!E41</f>
        <v>0</v>
      </c>
      <c r="F19" s="18">
        <f>'Summary Sheet'!F41</f>
        <v>0</v>
      </c>
    </row>
    <row r="20" spans="1:6" ht="28.5">
      <c r="A20" s="228">
        <v>13</v>
      </c>
      <c r="B20" s="48" t="s">
        <v>152</v>
      </c>
      <c r="C20" s="253" t="s">
        <v>1458</v>
      </c>
      <c r="D20" s="47" t="s">
        <v>153</v>
      </c>
      <c r="E20" s="18">
        <f>'Summary Sheet'!E42</f>
        <v>0</v>
      </c>
      <c r="F20" s="18">
        <f>'Summary Sheet'!F42</f>
        <v>0</v>
      </c>
    </row>
    <row r="21" spans="1:6" ht="28.5">
      <c r="A21" s="228">
        <v>14</v>
      </c>
      <c r="B21" s="257" t="s">
        <v>260</v>
      </c>
      <c r="C21" s="253" t="s">
        <v>1459</v>
      </c>
      <c r="D21" s="253" t="s">
        <v>467</v>
      </c>
      <c r="E21" s="18">
        <f>'Base line Parameters'!E56</f>
        <v>0</v>
      </c>
      <c r="F21" s="18">
        <f>'Base line Parameters'!F56</f>
        <v>0</v>
      </c>
    </row>
    <row r="22" spans="1:6" ht="14.25">
      <c r="A22" s="714"/>
      <c r="B22" s="715"/>
      <c r="C22" s="716"/>
      <c r="D22" s="716"/>
      <c r="E22" s="717"/>
      <c r="F22" s="717"/>
    </row>
    <row r="23" spans="1:6" ht="21.75" customHeight="1">
      <c r="A23" s="228">
        <v>15</v>
      </c>
      <c r="B23" s="253" t="s">
        <v>717</v>
      </c>
      <c r="C23" s="254" t="s">
        <v>468</v>
      </c>
      <c r="D23" s="253" t="s">
        <v>138</v>
      </c>
      <c r="E23" s="22">
        <f>_xlfn.IFERROR((E8*E12+E9*E13)/(E8+E9),0)</f>
        <v>0</v>
      </c>
      <c r="F23" s="22">
        <f>_xlfn.IFERROR((F8*F12+F9*F13)/(F8+F9),0)</f>
        <v>0</v>
      </c>
    </row>
    <row r="24" spans="1:6" ht="14.25">
      <c r="A24" s="228">
        <v>16</v>
      </c>
      <c r="B24" s="254" t="s">
        <v>469</v>
      </c>
      <c r="C24" s="254" t="s">
        <v>470</v>
      </c>
      <c r="D24" s="253" t="s">
        <v>234</v>
      </c>
      <c r="E24" s="18">
        <f>(E15-E16-E6)*E20*E21/10</f>
        <v>0</v>
      </c>
      <c r="F24" s="18">
        <f>(F15-F16-F6)*F20*F21/10</f>
        <v>0</v>
      </c>
    </row>
    <row r="25" spans="1:6" ht="28.5">
      <c r="A25" s="230">
        <v>17</v>
      </c>
      <c r="B25" s="292" t="s">
        <v>471</v>
      </c>
      <c r="C25" s="292" t="s">
        <v>727</v>
      </c>
      <c r="D25" s="293" t="s">
        <v>234</v>
      </c>
      <c r="E25" s="294"/>
      <c r="F25" s="294">
        <f>E24-F24</f>
        <v>0</v>
      </c>
    </row>
    <row r="26" spans="1:6" ht="14.25">
      <c r="A26" s="230"/>
      <c r="B26" s="251"/>
      <c r="C26" s="251"/>
      <c r="D26" s="760"/>
      <c r="E26" s="761"/>
      <c r="F26" s="761"/>
    </row>
    <row r="27" spans="1:6" ht="42.75">
      <c r="A27" s="299">
        <v>18</v>
      </c>
      <c r="B27" s="295" t="s">
        <v>1092</v>
      </c>
      <c r="C27" s="295" t="s">
        <v>1460</v>
      </c>
      <c r="D27" s="296" t="s">
        <v>464</v>
      </c>
      <c r="E27" s="291"/>
      <c r="F27" s="297">
        <f>IF(E8=0,F8*(F11-F12),F8*((F11-F12)-(E11-E12)))</f>
        <v>0</v>
      </c>
    </row>
    <row r="28" spans="1:6" ht="42.75">
      <c r="A28" s="299">
        <v>19</v>
      </c>
      <c r="B28" s="295" t="s">
        <v>1093</v>
      </c>
      <c r="C28" s="295" t="s">
        <v>1461</v>
      </c>
      <c r="D28" s="296" t="s">
        <v>464</v>
      </c>
      <c r="E28" s="291"/>
      <c r="F28" s="297">
        <f>IF(E9=0,F9*(F11-F13),F9*((F11-F13)-(E11-E13)))</f>
        <v>0</v>
      </c>
    </row>
    <row r="29" spans="1:6" ht="42.75">
      <c r="A29" s="299">
        <v>20</v>
      </c>
      <c r="B29" s="295" t="s">
        <v>726</v>
      </c>
      <c r="C29" s="295" t="s">
        <v>730</v>
      </c>
      <c r="D29" s="296" t="s">
        <v>464</v>
      </c>
      <c r="E29" s="291"/>
      <c r="F29" s="297">
        <f>SUM(F27:F28)</f>
        <v>0</v>
      </c>
    </row>
    <row r="30" spans="1:6" ht="14.25">
      <c r="A30" s="714"/>
      <c r="B30" s="757"/>
      <c r="C30" s="757"/>
      <c r="D30" s="716"/>
      <c r="E30" s="717"/>
      <c r="F30" s="758"/>
    </row>
    <row r="31" spans="1:6" ht="42.75">
      <c r="A31" s="230">
        <v>21</v>
      </c>
      <c r="B31" s="292" t="s">
        <v>472</v>
      </c>
      <c r="C31" s="292" t="s">
        <v>1462</v>
      </c>
      <c r="D31" s="293" t="s">
        <v>234</v>
      </c>
      <c r="E31" s="294"/>
      <c r="F31" s="294">
        <f>F29*(F18*1000+F19*F21)/10</f>
        <v>0</v>
      </c>
    </row>
    <row r="32" spans="1:6" ht="28.5">
      <c r="A32" s="230">
        <v>22</v>
      </c>
      <c r="B32" s="251" t="s">
        <v>473</v>
      </c>
      <c r="C32" s="251" t="s">
        <v>1463</v>
      </c>
      <c r="D32" s="251" t="s">
        <v>234</v>
      </c>
      <c r="E32" s="251"/>
      <c r="F32" s="252">
        <f>IF(AND(E3="yes",F3="yes"),F25+F31,0)</f>
        <v>0</v>
      </c>
    </row>
    <row r="33" ht="14.25"/>
    <row r="34" ht="14.25"/>
    <row r="35" ht="14.25"/>
    <row r="36" ht="14.25"/>
  </sheetData>
  <sheetProtection password="FABB" sheet="1"/>
  <mergeCells count="4">
    <mergeCell ref="A1:F1"/>
    <mergeCell ref="A2:B2"/>
    <mergeCell ref="C2:F2"/>
    <mergeCell ref="A3:B3"/>
  </mergeCells>
  <printOptions horizontalCentered="1"/>
  <pageMargins left="0.11811023622047245" right="0" top="0.35433070866141736" bottom="0.5511811023622047" header="0.31496062992125984" footer="0.31496062992125984"/>
  <pageSetup horizontalDpi="600" verticalDpi="600" orientation="landscape" paperSize="9" r:id="rId1"/>
  <headerFooter>
    <oddFooter>&amp;C&amp;P&amp;RNote: Not to be quoted and not to be published without prior permission</oddFooter>
  </headerFooter>
</worksheet>
</file>

<file path=xl/worksheets/sheet15.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C4" sqref="C4"/>
    </sheetView>
  </sheetViews>
  <sheetFormatPr defaultColWidth="0" defaultRowHeight="13.5" customHeight="1" zeroHeight="1"/>
  <cols>
    <col min="1" max="1" width="9.140625" style="241" customWidth="1"/>
    <col min="2" max="2" width="40.7109375" style="241" customWidth="1"/>
    <col min="3" max="3" width="27.7109375" style="241" customWidth="1"/>
    <col min="4" max="4" width="17.7109375" style="241" customWidth="1"/>
    <col min="5" max="5" width="11.57421875" style="241" customWidth="1"/>
    <col min="6" max="6" width="13.7109375" style="241" customWidth="1"/>
    <col min="7" max="16384" width="0" style="13" hidden="1" customWidth="1"/>
  </cols>
  <sheetData>
    <row r="1" spans="1:6" ht="23.25">
      <c r="A1" s="977" t="s">
        <v>758</v>
      </c>
      <c r="B1" s="978"/>
      <c r="C1" s="978"/>
      <c r="D1" s="978"/>
      <c r="E1" s="978"/>
      <c r="F1" s="979"/>
    </row>
    <row r="2" spans="1:6" s="234" customFormat="1" ht="18">
      <c r="A2" s="993" t="str">
        <f>'NF-3 Petcoke'!A2:B2</f>
        <v>Name of the Unit</v>
      </c>
      <c r="B2" s="982"/>
      <c r="C2" s="982" t="str">
        <f>'NF-3 Petcoke'!C2:F2</f>
        <v>  </v>
      </c>
      <c r="D2" s="982"/>
      <c r="E2" s="982"/>
      <c r="F2" s="983"/>
    </row>
    <row r="3" spans="1:6" s="234" customFormat="1" ht="18">
      <c r="A3" s="990" t="s">
        <v>839</v>
      </c>
      <c r="B3" s="990"/>
      <c r="C3" s="407" t="s">
        <v>698</v>
      </c>
      <c r="D3" s="602"/>
      <c r="E3" s="602" t="str">
        <f>'Form-Sb'!H530</f>
        <v>Yes</v>
      </c>
      <c r="F3" s="602" t="str">
        <f>'Form-Sb'!I530</f>
        <v>Yes</v>
      </c>
    </row>
    <row r="4" spans="1:6" ht="72">
      <c r="A4" s="235" t="s">
        <v>372</v>
      </c>
      <c r="B4" s="236" t="s">
        <v>447</v>
      </c>
      <c r="C4" s="236" t="s">
        <v>448</v>
      </c>
      <c r="D4" s="236" t="s">
        <v>2</v>
      </c>
      <c r="E4" s="604" t="str">
        <f>'Base line Parameters'!E5</f>
        <v>Baseline Year (Average of year1 to Year 3)</v>
      </c>
      <c r="F4" s="604" t="str">
        <f>'Base line Parameters'!F5</f>
        <v>Current/Assessment /Target Year    (20__-20__)</v>
      </c>
    </row>
    <row r="5" spans="1:6" ht="14.25">
      <c r="A5" s="387">
        <v>1</v>
      </c>
      <c r="B5" s="388" t="s">
        <v>397</v>
      </c>
      <c r="C5" s="388" t="s">
        <v>1424</v>
      </c>
      <c r="D5" s="388" t="s">
        <v>755</v>
      </c>
      <c r="E5" s="389">
        <f>'Base line Parameters'!E56</f>
        <v>0</v>
      </c>
      <c r="F5" s="389">
        <f>'Base line Parameters'!F56</f>
        <v>0</v>
      </c>
    </row>
    <row r="6" spans="1:6" ht="14.25">
      <c r="A6" s="387">
        <v>2</v>
      </c>
      <c r="B6" s="388" t="s">
        <v>795</v>
      </c>
      <c r="C6" s="388" t="s">
        <v>1425</v>
      </c>
      <c r="D6" s="388" t="s">
        <v>273</v>
      </c>
      <c r="E6" s="389">
        <f>'Form-Sb'!H343</f>
        <v>0</v>
      </c>
      <c r="F6" s="389">
        <f>'Form-Sb'!I343</f>
        <v>0</v>
      </c>
    </row>
    <row r="7" spans="1:6" ht="14.25">
      <c r="A7" s="387">
        <v>3</v>
      </c>
      <c r="B7" s="388" t="s">
        <v>797</v>
      </c>
      <c r="C7" s="388" t="s">
        <v>1426</v>
      </c>
      <c r="D7" s="388" t="s">
        <v>273</v>
      </c>
      <c r="E7" s="389">
        <f>'Form-Sb'!H353</f>
        <v>0</v>
      </c>
      <c r="F7" s="389">
        <f>'Form-Sb'!I353</f>
        <v>0</v>
      </c>
    </row>
    <row r="8" spans="1:6" ht="14.25">
      <c r="A8" s="387">
        <v>4</v>
      </c>
      <c r="B8" s="388" t="s">
        <v>796</v>
      </c>
      <c r="C8" s="388" t="s">
        <v>1427</v>
      </c>
      <c r="D8" s="388" t="s">
        <v>273</v>
      </c>
      <c r="E8" s="389">
        <f>'Form-Sb'!H434</f>
        <v>0</v>
      </c>
      <c r="F8" s="389">
        <f>'Form-Sb'!I434</f>
        <v>0</v>
      </c>
    </row>
    <row r="9" spans="1:6" ht="14.25">
      <c r="A9" s="387">
        <v>5</v>
      </c>
      <c r="B9" s="388" t="s">
        <v>1140</v>
      </c>
      <c r="C9" s="388" t="s">
        <v>1194</v>
      </c>
      <c r="D9" s="388" t="s">
        <v>755</v>
      </c>
      <c r="E9" s="389">
        <f>'NF-5 Power Mix'!E34</f>
        <v>0</v>
      </c>
      <c r="F9" s="389">
        <f>'NF-5 Power Mix'!F34</f>
        <v>0</v>
      </c>
    </row>
    <row r="10" spans="1:6" ht="14.25">
      <c r="A10" s="390"/>
      <c r="B10" s="391"/>
      <c r="C10" s="391"/>
      <c r="D10" s="391"/>
      <c r="E10" s="392"/>
      <c r="F10" s="392"/>
    </row>
    <row r="11" spans="1:6" ht="42.75">
      <c r="A11" s="387">
        <v>6</v>
      </c>
      <c r="B11" s="388" t="s">
        <v>1141</v>
      </c>
      <c r="C11" s="388" t="s">
        <v>1428</v>
      </c>
      <c r="D11" s="388" t="s">
        <v>1131</v>
      </c>
      <c r="E11" s="389"/>
      <c r="F11" s="389">
        <f>'Form-Sb'!I102</f>
        <v>0</v>
      </c>
    </row>
    <row r="12" spans="1:6" ht="28.5">
      <c r="A12" s="387">
        <v>7</v>
      </c>
      <c r="B12" s="388" t="s">
        <v>1133</v>
      </c>
      <c r="C12" s="388" t="s">
        <v>1429</v>
      </c>
      <c r="D12" s="388" t="s">
        <v>1131</v>
      </c>
      <c r="E12" s="389"/>
      <c r="F12" s="389">
        <f>'Form-Sb'!I103</f>
        <v>0</v>
      </c>
    </row>
    <row r="13" spans="1:6" ht="28.5">
      <c r="A13" s="387">
        <v>8</v>
      </c>
      <c r="B13" s="388" t="s">
        <v>520</v>
      </c>
      <c r="C13" s="388" t="s">
        <v>1430</v>
      </c>
      <c r="D13" s="388" t="s">
        <v>1199</v>
      </c>
      <c r="E13" s="389">
        <f>'Summary Sheet'!E59</f>
        <v>0</v>
      </c>
      <c r="F13" s="389">
        <f>'Summary Sheet'!F59</f>
        <v>0</v>
      </c>
    </row>
    <row r="14" spans="1:6" ht="28.5">
      <c r="A14" s="387">
        <v>9</v>
      </c>
      <c r="B14" s="37" t="s">
        <v>1159</v>
      </c>
      <c r="C14" s="388" t="s">
        <v>1431</v>
      </c>
      <c r="D14" s="388" t="s">
        <v>1200</v>
      </c>
      <c r="E14" s="403">
        <f>'Form-Sb'!H108</f>
        <v>0</v>
      </c>
      <c r="F14" s="389"/>
    </row>
    <row r="15" spans="1:6" ht="28.5">
      <c r="A15" s="387">
        <v>10</v>
      </c>
      <c r="B15" s="37" t="s">
        <v>1160</v>
      </c>
      <c r="C15" s="388" t="s">
        <v>1432</v>
      </c>
      <c r="D15" s="388" t="s">
        <v>1164</v>
      </c>
      <c r="E15" s="389">
        <f>'Form-Sb'!H109</f>
        <v>0</v>
      </c>
      <c r="F15" s="389"/>
    </row>
    <row r="16" spans="1:6" ht="14.25">
      <c r="A16" s="393"/>
      <c r="B16" s="394"/>
      <c r="C16" s="394"/>
      <c r="D16" s="394"/>
      <c r="E16" s="395"/>
      <c r="F16" s="395"/>
    </row>
    <row r="17" spans="1:6" s="21" customFormat="1" ht="28.5">
      <c r="A17" s="396">
        <v>11</v>
      </c>
      <c r="B17" s="27" t="s">
        <v>794</v>
      </c>
      <c r="C17" s="388" t="s">
        <v>1433</v>
      </c>
      <c r="D17" s="3" t="s">
        <v>234</v>
      </c>
      <c r="E17" s="237"/>
      <c r="F17" s="237">
        <f>('Form-Sb'!I498*F5/10)+'Form-Sb'!I499</f>
        <v>0</v>
      </c>
    </row>
    <row r="18" spans="1:6" s="21" customFormat="1" ht="28.5">
      <c r="A18" s="396">
        <v>12</v>
      </c>
      <c r="B18" s="20" t="s">
        <v>762</v>
      </c>
      <c r="C18" s="388" t="s">
        <v>1434</v>
      </c>
      <c r="D18" s="3" t="s">
        <v>234</v>
      </c>
      <c r="E18" s="237"/>
      <c r="F18" s="237">
        <f>'Form-Sb'!I502*E6/10^3</f>
        <v>0</v>
      </c>
    </row>
    <row r="19" spans="1:6" s="21" customFormat="1" ht="28.5">
      <c r="A19" s="396">
        <v>13</v>
      </c>
      <c r="B19" s="20" t="s">
        <v>763</v>
      </c>
      <c r="C19" s="388" t="s">
        <v>1435</v>
      </c>
      <c r="D19" s="3" t="s">
        <v>234</v>
      </c>
      <c r="E19" s="237"/>
      <c r="F19" s="237">
        <f>'Form-Sb'!I503*E7/10^3</f>
        <v>0</v>
      </c>
    </row>
    <row r="20" spans="1:6" s="21" customFormat="1" ht="28.5">
      <c r="A20" s="396">
        <v>14</v>
      </c>
      <c r="B20" s="27" t="s">
        <v>764</v>
      </c>
      <c r="C20" s="388" t="s">
        <v>1436</v>
      </c>
      <c r="D20" s="3" t="s">
        <v>234</v>
      </c>
      <c r="E20" s="237"/>
      <c r="F20" s="237">
        <f>'Form-Sb'!I504*E8/10^3</f>
        <v>0</v>
      </c>
    </row>
    <row r="21" spans="1:6" ht="42.75">
      <c r="A21" s="396">
        <v>15</v>
      </c>
      <c r="B21" s="27" t="s">
        <v>798</v>
      </c>
      <c r="C21" s="388" t="s">
        <v>1437</v>
      </c>
      <c r="D21" s="397" t="s">
        <v>234</v>
      </c>
      <c r="E21" s="398"/>
      <c r="F21" s="398">
        <f>('Form-Sb'!I506*F5/10)+'Form-Sb'!I507</f>
        <v>0</v>
      </c>
    </row>
    <row r="22" spans="1:6" ht="42.75">
      <c r="A22" s="396">
        <v>16</v>
      </c>
      <c r="B22" s="20" t="s">
        <v>799</v>
      </c>
      <c r="C22" s="388" t="s">
        <v>1438</v>
      </c>
      <c r="D22" s="3" t="s">
        <v>234</v>
      </c>
      <c r="E22" s="237"/>
      <c r="F22" s="239">
        <f>('Form-Sb'!I509*'NF-7 Others'!F5/10)+'Form-Sb'!I510</f>
        <v>0</v>
      </c>
    </row>
    <row r="23" spans="1:6" ht="57">
      <c r="A23" s="396">
        <v>17</v>
      </c>
      <c r="B23" s="20" t="s">
        <v>800</v>
      </c>
      <c r="C23" s="388" t="s">
        <v>1439</v>
      </c>
      <c r="D23" s="3" t="s">
        <v>234</v>
      </c>
      <c r="E23" s="237"/>
      <c r="F23" s="289">
        <f>('Form-Sb'!I513*'NF-7 Others'!F5/10)+'Form-Sb'!I514</f>
        <v>0</v>
      </c>
    </row>
    <row r="24" spans="1:6" ht="28.5">
      <c r="A24" s="396">
        <v>18</v>
      </c>
      <c r="B24" s="20" t="s">
        <v>801</v>
      </c>
      <c r="C24" s="388" t="s">
        <v>1440</v>
      </c>
      <c r="D24" s="3" t="s">
        <v>234</v>
      </c>
      <c r="E24" s="237"/>
      <c r="F24" s="239">
        <f>('Form-Sb'!I518*F5/10)+'Form-Sb'!I519</f>
        <v>0</v>
      </c>
    </row>
    <row r="25" spans="1:6" ht="42.75">
      <c r="A25" s="396">
        <v>19</v>
      </c>
      <c r="B25" s="20" t="s">
        <v>1209</v>
      </c>
      <c r="C25" s="388" t="s">
        <v>1441</v>
      </c>
      <c r="D25" s="3" t="s">
        <v>234</v>
      </c>
      <c r="E25" s="237"/>
      <c r="F25" s="676">
        <f>'Form-Sb'!I515*F5/10</f>
        <v>0</v>
      </c>
    </row>
    <row r="26" spans="1:6" ht="14.25">
      <c r="A26" s="16">
        <v>20</v>
      </c>
      <c r="B26" s="26" t="s">
        <v>452</v>
      </c>
      <c r="C26" s="26"/>
      <c r="D26" s="26" t="s">
        <v>453</v>
      </c>
      <c r="E26" s="240"/>
      <c r="F26" s="240">
        <f>IF(AND(E3="yes",F3="yes"),SUM(F17:F24),0)</f>
        <v>0</v>
      </c>
    </row>
    <row r="27" spans="1:6" ht="14.25" customHeight="1">
      <c r="A27" s="994" t="s">
        <v>1168</v>
      </c>
      <c r="B27" s="995"/>
      <c r="C27" s="995"/>
      <c r="D27" s="995"/>
      <c r="E27" s="995"/>
      <c r="F27" s="996"/>
    </row>
    <row r="28" spans="1:6" ht="28.5">
      <c r="A28" s="396">
        <v>21</v>
      </c>
      <c r="B28" s="388" t="s">
        <v>1169</v>
      </c>
      <c r="C28" s="399" t="s">
        <v>1195</v>
      </c>
      <c r="D28" s="290" t="s">
        <v>371</v>
      </c>
      <c r="E28" s="400">
        <f>E14*10000</f>
        <v>0</v>
      </c>
      <c r="F28" s="289"/>
    </row>
    <row r="29" spans="1:6" ht="14.25">
      <c r="A29" s="396">
        <v>22</v>
      </c>
      <c r="B29" s="388" t="s">
        <v>1169</v>
      </c>
      <c r="C29" s="399" t="s">
        <v>1442</v>
      </c>
      <c r="D29" s="290" t="s">
        <v>234</v>
      </c>
      <c r="E29" s="24">
        <f>E28*E15*1000/10^6</f>
        <v>0</v>
      </c>
      <c r="F29" s="289"/>
    </row>
    <row r="30" spans="1:6" ht="28.5">
      <c r="A30" s="396">
        <v>23</v>
      </c>
      <c r="B30" s="388" t="s">
        <v>1167</v>
      </c>
      <c r="C30" s="399" t="s">
        <v>1196</v>
      </c>
      <c r="D30" s="290" t="s">
        <v>371</v>
      </c>
      <c r="E30" s="400"/>
      <c r="F30" s="289">
        <f>E13-F13</f>
        <v>0</v>
      </c>
    </row>
    <row r="31" spans="1:6" ht="14.25">
      <c r="A31" s="396">
        <v>24</v>
      </c>
      <c r="B31" s="388" t="s">
        <v>1167</v>
      </c>
      <c r="C31" s="399" t="s">
        <v>1443</v>
      </c>
      <c r="D31" s="290" t="s">
        <v>234</v>
      </c>
      <c r="E31" s="400"/>
      <c r="F31" s="405">
        <f>F30*E15*1000/10^6</f>
        <v>0</v>
      </c>
    </row>
    <row r="32" spans="1:6" ht="28.5">
      <c r="A32" s="396">
        <v>25</v>
      </c>
      <c r="B32" s="388" t="s">
        <v>1170</v>
      </c>
      <c r="C32" s="399" t="s">
        <v>1444</v>
      </c>
      <c r="D32" s="290" t="s">
        <v>371</v>
      </c>
      <c r="E32" s="400"/>
      <c r="F32" s="289">
        <f>F30-E28</f>
        <v>0</v>
      </c>
    </row>
    <row r="33" spans="1:6" ht="28.5">
      <c r="A33" s="396">
        <v>26</v>
      </c>
      <c r="B33" s="388" t="s">
        <v>1170</v>
      </c>
      <c r="C33" s="399" t="s">
        <v>1445</v>
      </c>
      <c r="D33" s="290" t="s">
        <v>234</v>
      </c>
      <c r="E33" s="400"/>
      <c r="F33" s="18">
        <f>F31-E29</f>
        <v>0</v>
      </c>
    </row>
    <row r="34" spans="1:6" ht="57">
      <c r="A34" s="396">
        <v>27</v>
      </c>
      <c r="B34" s="388" t="s">
        <v>1171</v>
      </c>
      <c r="C34" s="399" t="s">
        <v>1446</v>
      </c>
      <c r="D34" s="290" t="s">
        <v>234</v>
      </c>
      <c r="E34" s="400"/>
      <c r="F34" s="405">
        <f>IF(F9=0,(F11+F12)*1000*2717/10^6,(F11+F12)*1000*F9/10^6)</f>
        <v>0</v>
      </c>
    </row>
    <row r="35" spans="1:6" s="244" customFormat="1" ht="42.75">
      <c r="A35" s="16">
        <v>28</v>
      </c>
      <c r="B35" s="401" t="s">
        <v>1183</v>
      </c>
      <c r="C35" s="402" t="s">
        <v>1447</v>
      </c>
      <c r="D35" s="26" t="s">
        <v>234</v>
      </c>
      <c r="E35" s="240"/>
      <c r="F35" s="252">
        <f>IF(F32&lt;=0,0,IF(F34&gt;F33,F33,F34))</f>
        <v>0</v>
      </c>
    </row>
    <row r="36" spans="1:6" ht="14.25">
      <c r="A36" s="396"/>
      <c r="B36" s="27"/>
      <c r="C36" s="397"/>
      <c r="D36" s="3"/>
      <c r="E36" s="237"/>
      <c r="F36" s="239"/>
    </row>
    <row r="37" spans="1:6" ht="14.25">
      <c r="A37" s="13"/>
      <c r="B37" s="13"/>
      <c r="C37" s="13"/>
      <c r="D37" s="13"/>
      <c r="E37" s="13"/>
      <c r="F37" s="13"/>
    </row>
    <row r="38" spans="1:6" ht="14.25">
      <c r="A38" s="13"/>
      <c r="B38" s="13"/>
      <c r="C38" s="13"/>
      <c r="D38" s="13"/>
      <c r="E38" s="13"/>
      <c r="F38" s="13"/>
    </row>
    <row r="39" spans="1:6" ht="14.25">
      <c r="A39" s="13"/>
      <c r="B39" s="13"/>
      <c r="C39" s="13"/>
      <c r="D39" s="13"/>
      <c r="E39" s="404"/>
      <c r="F39" s="13"/>
    </row>
    <row r="40" spans="1:6" ht="13.5" customHeight="1">
      <c r="A40" s="13"/>
      <c r="B40" s="13"/>
      <c r="C40" s="13"/>
      <c r="D40" s="13"/>
      <c r="E40" s="404"/>
      <c r="F40" s="13"/>
    </row>
    <row r="41" spans="1:6" ht="13.5" customHeight="1">
      <c r="A41" s="13"/>
      <c r="B41" s="13"/>
      <c r="C41" s="13"/>
      <c r="D41" s="13"/>
      <c r="E41" s="13"/>
      <c r="F41" s="13"/>
    </row>
    <row r="42" spans="1:6" ht="13.5" customHeight="1">
      <c r="A42" s="13"/>
      <c r="B42" s="13"/>
      <c r="C42" s="13"/>
      <c r="D42" s="13"/>
      <c r="E42" s="13"/>
      <c r="F42" s="13"/>
    </row>
    <row r="43" spans="1:6" ht="13.5" customHeight="1">
      <c r="A43" s="13"/>
      <c r="B43" s="13"/>
      <c r="C43" s="13"/>
      <c r="D43" s="13"/>
      <c r="E43" s="13"/>
      <c r="F43" s="13"/>
    </row>
    <row r="44" spans="1:6" ht="13.5" customHeight="1">
      <c r="A44" s="13"/>
      <c r="B44" s="13"/>
      <c r="C44" s="13"/>
      <c r="D44" s="13"/>
      <c r="E44" s="13"/>
      <c r="F44" s="13"/>
    </row>
    <row r="45" spans="1:6" ht="13.5" customHeight="1">
      <c r="A45" s="13"/>
      <c r="B45" s="13"/>
      <c r="C45" s="13"/>
      <c r="D45" s="13"/>
      <c r="E45" s="13"/>
      <c r="F45" s="13"/>
    </row>
  </sheetData>
  <sheetProtection password="FABB" sheet="1"/>
  <mergeCells count="5">
    <mergeCell ref="A1:F1"/>
    <mergeCell ref="A2:B2"/>
    <mergeCell ref="C2:F2"/>
    <mergeCell ref="A3:B3"/>
    <mergeCell ref="A27:F27"/>
  </mergeCells>
  <printOptions horizontalCentered="1"/>
  <pageMargins left="0.11811023622047245" right="0" top="0.7480314960629921" bottom="0.7480314960629921" header="0.31496062992125984" footer="0.31496062992125984"/>
  <pageSetup horizontalDpi="600" verticalDpi="600" orientation="landscape" scale="98" r:id="rId1"/>
  <headerFooter>
    <oddFooter>&amp;C&amp;P&amp;RNote: Not to be quoted and not to be published without prior permission</oddFooter>
  </headerFooter>
</worksheet>
</file>

<file path=xl/worksheets/sheet2.xml><?xml version="1.0" encoding="utf-8"?>
<worksheet xmlns="http://schemas.openxmlformats.org/spreadsheetml/2006/main" xmlns:r="http://schemas.openxmlformats.org/officeDocument/2006/relationships">
  <dimension ref="A1:E79"/>
  <sheetViews>
    <sheetView zoomScalePageLayoutView="0" workbookViewId="0" topLeftCell="A1">
      <selection activeCell="D26" sqref="B26:E36"/>
    </sheetView>
  </sheetViews>
  <sheetFormatPr defaultColWidth="9.140625" defaultRowHeight="15"/>
  <cols>
    <col min="2" max="2" width="63.7109375" style="0" customWidth="1"/>
    <col min="3" max="3" width="20.28125" style="0" customWidth="1"/>
    <col min="4" max="4" width="18.421875" style="0" customWidth="1"/>
    <col min="5" max="5" width="15.57421875" style="0" customWidth="1"/>
  </cols>
  <sheetData>
    <row r="1" spans="1:5" ht="14.25">
      <c r="A1" s="844" t="s">
        <v>1280</v>
      </c>
      <c r="B1" s="844"/>
      <c r="C1" s="844"/>
      <c r="D1" s="844"/>
      <c r="E1" s="844"/>
    </row>
    <row r="2" spans="1:5" ht="14.25">
      <c r="A2" s="844" t="s">
        <v>1502</v>
      </c>
      <c r="B2" s="844"/>
      <c r="C2" s="844"/>
      <c r="D2" s="844"/>
      <c r="E2" s="844"/>
    </row>
    <row r="3" spans="1:5" ht="14.25">
      <c r="A3" s="737" t="s">
        <v>1281</v>
      </c>
      <c r="B3" s="738" t="s">
        <v>1282</v>
      </c>
      <c r="C3" s="845" t="s">
        <v>392</v>
      </c>
      <c r="D3" s="845"/>
      <c r="E3" s="845"/>
    </row>
    <row r="4" spans="1:5" ht="14.25">
      <c r="A4" s="730">
        <v>1</v>
      </c>
      <c r="B4" s="731" t="s">
        <v>121</v>
      </c>
      <c r="C4" s="838">
        <f>'General Information'!C3:G3</f>
        <v>0</v>
      </c>
      <c r="D4" s="838"/>
      <c r="E4" s="838"/>
    </row>
    <row r="5" spans="1:5" ht="14.25">
      <c r="A5" s="835">
        <v>2</v>
      </c>
      <c r="B5" s="731" t="s">
        <v>1503</v>
      </c>
      <c r="C5" s="838">
        <f>'General Information'!C4:G4</f>
        <v>0</v>
      </c>
      <c r="D5" s="838"/>
      <c r="E5" s="838"/>
    </row>
    <row r="6" spans="1:5" ht="14.25">
      <c r="A6" s="836"/>
      <c r="B6" s="731" t="s">
        <v>1613</v>
      </c>
      <c r="C6" s="838">
        <f>'General Information'!C5</f>
        <v>0</v>
      </c>
      <c r="D6" s="838"/>
      <c r="E6" s="838"/>
    </row>
    <row r="7" spans="1:5" ht="14.25" customHeight="1">
      <c r="A7" s="839">
        <v>3</v>
      </c>
      <c r="B7" s="834" t="s">
        <v>1283</v>
      </c>
      <c r="C7" s="841" t="s">
        <v>1284</v>
      </c>
      <c r="D7" s="842"/>
      <c r="E7" s="742" t="s">
        <v>1285</v>
      </c>
    </row>
    <row r="8" spans="1:5" ht="14.25" customHeight="1">
      <c r="A8" s="839"/>
      <c r="B8" s="834"/>
      <c r="C8" s="841" t="str">
        <f>'General Information'!A2</f>
        <v>Sector :-  Cement Sector</v>
      </c>
      <c r="D8" s="842"/>
      <c r="E8" s="782" t="str">
        <f>'General Information'!F6</f>
        <v>PPC</v>
      </c>
    </row>
    <row r="9" spans="1:5" ht="69" customHeight="1">
      <c r="A9" s="730" t="s">
        <v>1286</v>
      </c>
      <c r="B9" s="731" t="s">
        <v>1287</v>
      </c>
      <c r="C9" s="841" t="str">
        <f>'General Information'!C8&amp;", "&amp;'General Information'!C9&amp;", "&amp;'General Information'!C10&amp;", "&amp;'General Information'!C11&amp;"- "&amp;'General Information'!F11&amp;", "&amp;'General Information'!B12&amp;"- "&amp;'General Information'!C12&amp;", "&amp;'General Information'!E12&amp;"- "&amp;'General Information'!F12&amp;", "&amp;'General Information'!C13&amp;", "&amp;'General Information'!C14&amp;", "&amp;'General Information'!B15&amp;"- "&amp;'General Information'!C15&amp;", "&amp;'General Information'!E15&amp;"- "&amp;'General Information'!F15&amp;", "&amp;'General Information'!B16&amp;"-"&amp;'General Information'!C16&amp;", "&amp;'General Information'!D16&amp;"- "&amp;'General Information'!E16</f>
        <v>, , , - Pin, Telephone- , Fax- , , , Telephone with STD Code- , Fax- , Mobile-, E-mail- </v>
      </c>
      <c r="D9" s="843"/>
      <c r="E9" s="842"/>
    </row>
    <row r="10" spans="1:5" ht="69" customHeight="1">
      <c r="A10" s="730" t="s">
        <v>44</v>
      </c>
      <c r="B10" s="732" t="s">
        <v>1288</v>
      </c>
      <c r="C10" s="841" t="str">
        <f>'General Information'!B18&amp;":"&amp;'General Information'!C18:F18&amp;","&amp;'General Information'!B19&amp;":"&amp;'General Information'!C19:F19&amp;","&amp;'General Information'!B20&amp;":"&amp;'General Information'!C20:F20&amp;","&amp;'General Information'!B21&amp;"-"&amp;'General Information'!C21:D21&amp;","&amp;'General Information'!E21&amp;"-"&amp;'General Information'!F21&amp;", "&amp;'General Information'!B22&amp;"-"&amp;'General Information'!C22:D22&amp;","&amp;'General Information'!B23&amp;"-"&amp;'General Information'!C23:D23&amp;","&amp;'General Information'!E23&amp;"-"&amp;'General Information'!F23&amp;", "&amp;'General Information'!B24&amp;"-"&amp;'General Information'!C24:D24&amp;","&amp;'General Information'!E24&amp;"-"&amp;'General Information'!F24&amp;"-"&amp;'General Information'!G24&amp;","&amp;'General Information'!B25&amp;"-"&amp;'General Information'!C25&amp;","&amp;'General Information'!E25&amp;"-"&amp;'General Information'!F25</f>
        <v>Company's Chief Executive Name:,Designation:,Address:,City/Town/Village-,-, Post Office-,District-,-, State-,-Pin-,Telephone with STD Code-,Fax-</v>
      </c>
      <c r="D10" s="843"/>
      <c r="E10" s="842"/>
    </row>
    <row r="11" spans="1:5" ht="72" customHeight="1">
      <c r="A11" s="730" t="s">
        <v>45</v>
      </c>
      <c r="B11" s="732" t="s">
        <v>1289</v>
      </c>
      <c r="C11" s="841" t="str">
        <f>'General Information'!C26&amp;", "&amp;'General Information'!C27&amp;", "&amp;'General Information'!F27&amp;", "&amp;'General Information'!B28&amp;"- "&amp;'General Information'!C28&amp;", "&amp;'General Information'!B29&amp;"-"&amp;'General Information'!C29&amp;", "&amp;'General Information'!E29&amp;"- "&amp;'General Information'!F29&amp;", "&amp;'General Information'!B30&amp;"- "&amp;'General Information'!C30&amp;", "&amp;'General Information'!D30&amp;"-"&amp;'General Information'!E30</f>
        <v>, , , Designation- , EA/EM Registration No.-, - , Telephone- , -Fax</v>
      </c>
      <c r="D11" s="843"/>
      <c r="E11" s="842"/>
    </row>
    <row r="12" spans="1:5" ht="14.25">
      <c r="A12" s="737" t="s">
        <v>1290</v>
      </c>
      <c r="B12" s="846" t="s">
        <v>1291</v>
      </c>
      <c r="C12" s="846"/>
      <c r="D12" s="846"/>
      <c r="E12" s="846"/>
    </row>
    <row r="13" spans="1:5" ht="14.25">
      <c r="A13" s="790">
        <v>5</v>
      </c>
      <c r="B13" s="847" t="s">
        <v>1292</v>
      </c>
      <c r="C13" s="848"/>
      <c r="D13" s="848"/>
      <c r="E13" s="849"/>
    </row>
    <row r="14" spans="1:5" ht="14.25" customHeight="1">
      <c r="A14" s="830" t="s">
        <v>638</v>
      </c>
      <c r="B14" s="832" t="s">
        <v>1293</v>
      </c>
      <c r="C14" s="790" t="s">
        <v>2</v>
      </c>
      <c r="D14" s="790" t="s">
        <v>1630</v>
      </c>
      <c r="E14" s="790" t="s">
        <v>1631</v>
      </c>
    </row>
    <row r="15" spans="1:5" ht="14.25" customHeight="1">
      <c r="A15" s="831"/>
      <c r="B15" s="833"/>
      <c r="C15" s="791" t="s">
        <v>1632</v>
      </c>
      <c r="D15" s="791" t="s">
        <v>1633</v>
      </c>
      <c r="E15" s="791" t="s">
        <v>1634</v>
      </c>
    </row>
    <row r="16" spans="1:5" ht="14.25">
      <c r="A16" s="734" t="s">
        <v>43</v>
      </c>
      <c r="B16" s="736" t="s">
        <v>1366</v>
      </c>
      <c r="C16" s="730" t="s">
        <v>76</v>
      </c>
      <c r="D16" s="744">
        <f>'Form-Sb'!H17</f>
        <v>0</v>
      </c>
      <c r="E16" s="741">
        <f>'Form-Sb'!I17</f>
        <v>0</v>
      </c>
    </row>
    <row r="17" spans="1:5" ht="14.25">
      <c r="A17" s="734" t="s">
        <v>44</v>
      </c>
      <c r="B17" s="736" t="s">
        <v>1367</v>
      </c>
      <c r="C17" s="730" t="s">
        <v>76</v>
      </c>
      <c r="D17" s="744">
        <f>'Form-Sb'!H18</f>
        <v>0</v>
      </c>
      <c r="E17" s="741">
        <f>'Form-Sb'!I18</f>
        <v>0</v>
      </c>
    </row>
    <row r="18" spans="1:5" ht="14.25">
      <c r="A18" s="734" t="s">
        <v>45</v>
      </c>
      <c r="B18" s="736" t="s">
        <v>1368</v>
      </c>
      <c r="C18" s="730" t="s">
        <v>76</v>
      </c>
      <c r="D18" s="744">
        <f>'Form-Sb'!H19</f>
        <v>0</v>
      </c>
      <c r="E18" s="741">
        <f>'Form-Sb'!I19</f>
        <v>0</v>
      </c>
    </row>
    <row r="19" spans="1:5" ht="14.25">
      <c r="A19" s="734" t="s">
        <v>46</v>
      </c>
      <c r="B19" s="736" t="s">
        <v>1294</v>
      </c>
      <c r="C19" s="730" t="s">
        <v>76</v>
      </c>
      <c r="D19" s="741"/>
      <c r="E19" s="741"/>
    </row>
    <row r="20" spans="1:5" ht="14.25">
      <c r="A20" s="734" t="s">
        <v>47</v>
      </c>
      <c r="B20" s="736" t="s">
        <v>1295</v>
      </c>
      <c r="C20" s="730" t="s">
        <v>76</v>
      </c>
      <c r="D20" s="744">
        <f>'Summary Sheet'!E38</f>
        <v>0</v>
      </c>
      <c r="E20" s="744">
        <f>'Summary Sheet'!F38</f>
        <v>0</v>
      </c>
    </row>
    <row r="21" spans="1:5" ht="15" customHeight="1">
      <c r="A21" s="838"/>
      <c r="B21" s="838"/>
      <c r="C21" s="733" t="s">
        <v>2</v>
      </c>
      <c r="D21" s="740" t="s">
        <v>1369</v>
      </c>
      <c r="E21" s="740" t="s">
        <v>1370</v>
      </c>
    </row>
    <row r="22" spans="1:5" ht="14.25" customHeight="1">
      <c r="A22" s="789" t="s">
        <v>35</v>
      </c>
      <c r="B22" s="840" t="s">
        <v>1296</v>
      </c>
      <c r="C22" s="840"/>
      <c r="D22" s="840"/>
      <c r="E22" s="840"/>
    </row>
    <row r="23" spans="1:5" ht="14.25">
      <c r="A23" s="828" t="s">
        <v>638</v>
      </c>
      <c r="B23" s="830" t="s">
        <v>1629</v>
      </c>
      <c r="C23" s="790" t="s">
        <v>2</v>
      </c>
      <c r="D23" s="790" t="s">
        <v>1630</v>
      </c>
      <c r="E23" s="790" t="s">
        <v>1631</v>
      </c>
    </row>
    <row r="24" spans="1:5" ht="14.25">
      <c r="A24" s="829"/>
      <c r="B24" s="831"/>
      <c r="C24" s="791" t="s">
        <v>1632</v>
      </c>
      <c r="D24" s="791" t="s">
        <v>1633</v>
      </c>
      <c r="E24" s="791" t="s">
        <v>1634</v>
      </c>
    </row>
    <row r="25" spans="1:5" ht="14.25">
      <c r="A25" s="734" t="s">
        <v>1297</v>
      </c>
      <c r="B25" s="731" t="s">
        <v>1298</v>
      </c>
      <c r="C25" s="730" t="s">
        <v>1299</v>
      </c>
      <c r="D25" s="744">
        <f>'Summary Sheet'!E29/10</f>
        <v>0</v>
      </c>
      <c r="E25" s="744">
        <f>'Summary Sheet'!F29/10</f>
        <v>0</v>
      </c>
    </row>
    <row r="26" spans="1:5" ht="14.25">
      <c r="A26" s="734" t="s">
        <v>44</v>
      </c>
      <c r="B26" s="1026" t="s">
        <v>1300</v>
      </c>
      <c r="C26" s="1027" t="s">
        <v>1299</v>
      </c>
      <c r="D26" s="1028">
        <f>'Form-Sb'!H237/10</f>
        <v>0</v>
      </c>
      <c r="E26" s="1029">
        <f>'Form-Sb'!I237/10</f>
        <v>0</v>
      </c>
    </row>
    <row r="27" spans="1:5" ht="14.25">
      <c r="A27" s="734" t="s">
        <v>45</v>
      </c>
      <c r="B27" s="1026" t="s">
        <v>1301</v>
      </c>
      <c r="C27" s="1027" t="s">
        <v>1299</v>
      </c>
      <c r="D27" s="1028">
        <f>'Form-Sb'!H238/10</f>
        <v>0</v>
      </c>
      <c r="E27" s="1029">
        <f>'Form-Sb'!I238/10</f>
        <v>0</v>
      </c>
    </row>
    <row r="28" spans="1:5" ht="14.25">
      <c r="A28" s="734" t="s">
        <v>46</v>
      </c>
      <c r="B28" s="1026" t="s">
        <v>1302</v>
      </c>
      <c r="C28" s="1027" t="s">
        <v>1299</v>
      </c>
      <c r="D28" s="1028">
        <f>'Form-Sb'!H242/10</f>
        <v>0</v>
      </c>
      <c r="E28" s="1029">
        <f>'Form-Sb'!I242/10</f>
        <v>0</v>
      </c>
    </row>
    <row r="29" spans="1:5" ht="14.25">
      <c r="A29" s="734" t="s">
        <v>47</v>
      </c>
      <c r="B29" s="1026" t="s">
        <v>1303</v>
      </c>
      <c r="C29" s="1027" t="s">
        <v>60</v>
      </c>
      <c r="D29" s="1030">
        <f>'Form-Sb'!H361+'Form-Sb'!H362</f>
        <v>0</v>
      </c>
      <c r="E29" s="1027">
        <f>'Form-Sb'!I361+'Form-Sb'!I362</f>
        <v>0</v>
      </c>
    </row>
    <row r="30" spans="1:5" ht="14.25">
      <c r="A30" s="730" t="s">
        <v>48</v>
      </c>
      <c r="B30" s="1026" t="s">
        <v>1304</v>
      </c>
      <c r="C30" s="1027" t="s">
        <v>60</v>
      </c>
      <c r="D30" s="1030">
        <f>'Form-Sb'!H444+'Form-Sb'!H445+'Form-Sb'!H446</f>
        <v>0</v>
      </c>
      <c r="E30" s="1027">
        <f>'Form-Sb'!I444+'Form-Sb'!I445+'Form-Sb'!I446</f>
        <v>0</v>
      </c>
    </row>
    <row r="31" spans="1:5" ht="14.25">
      <c r="A31" s="730" t="s">
        <v>49</v>
      </c>
      <c r="B31" s="1026" t="s">
        <v>1305</v>
      </c>
      <c r="C31" s="1027" t="s">
        <v>60</v>
      </c>
      <c r="D31" s="1030">
        <f>'Form-Sb'!H470+'Form-Sb'!H471</f>
        <v>0</v>
      </c>
      <c r="E31" s="1027">
        <f>'Form-Sb'!I470+'Form-Sb'!I471</f>
        <v>0</v>
      </c>
    </row>
    <row r="32" spans="1:5" ht="14.25">
      <c r="A32" s="730" t="s">
        <v>50</v>
      </c>
      <c r="B32" s="1026" t="s">
        <v>140</v>
      </c>
      <c r="C32" s="1027" t="s">
        <v>60</v>
      </c>
      <c r="D32" s="1030">
        <f>'Form-Sb'!H476</f>
        <v>0</v>
      </c>
      <c r="E32" s="1027">
        <f>'Form-Sb'!I476</f>
        <v>0</v>
      </c>
    </row>
    <row r="33" spans="1:5" ht="14.25">
      <c r="A33" s="730" t="s">
        <v>101</v>
      </c>
      <c r="B33" s="1026" t="s">
        <v>1306</v>
      </c>
      <c r="C33" s="1027" t="s">
        <v>1307</v>
      </c>
      <c r="D33" s="1030">
        <f>'Summary Sheet'!E58/10</f>
        <v>0</v>
      </c>
      <c r="E33" s="1030">
        <f>'Summary Sheet'!F58/10</f>
        <v>0</v>
      </c>
    </row>
    <row r="34" spans="1:5" ht="14.25">
      <c r="A34" s="733" t="s">
        <v>36</v>
      </c>
      <c r="B34" s="1031" t="s">
        <v>1308</v>
      </c>
      <c r="C34" s="1031"/>
      <c r="D34" s="1031"/>
      <c r="E34" s="1031"/>
    </row>
    <row r="35" spans="1:5" ht="14.25">
      <c r="A35" s="734" t="s">
        <v>1309</v>
      </c>
      <c r="B35" s="1026" t="s">
        <v>1310</v>
      </c>
      <c r="C35" s="1027" t="s">
        <v>1311</v>
      </c>
      <c r="D35" s="1032">
        <f>'Summary Sheet'!E49</f>
        <v>0</v>
      </c>
      <c r="E35" s="1032">
        <f>'Summary Sheet'!F49</f>
        <v>0</v>
      </c>
    </row>
    <row r="36" spans="1:5" ht="14.25">
      <c r="A36" s="734" t="s">
        <v>1312</v>
      </c>
      <c r="B36" s="1026" t="s">
        <v>1313</v>
      </c>
      <c r="C36" s="1027" t="s">
        <v>1311</v>
      </c>
      <c r="D36" s="1032" t="s">
        <v>1635</v>
      </c>
      <c r="E36" s="1032">
        <f>'Summary Sheet'!F66</f>
        <v>0</v>
      </c>
    </row>
    <row r="37" spans="1:5" ht="14.25">
      <c r="A37" s="838"/>
      <c r="B37" s="838"/>
      <c r="C37" s="838"/>
      <c r="D37" s="838"/>
      <c r="E37" s="838"/>
    </row>
    <row r="38" spans="1:5" ht="14.25">
      <c r="A38" s="737" t="s">
        <v>38</v>
      </c>
      <c r="B38" s="846" t="s">
        <v>1314</v>
      </c>
      <c r="C38" s="846"/>
      <c r="D38" s="846"/>
      <c r="E38" s="846"/>
    </row>
    <row r="39" spans="1:5" ht="14.25">
      <c r="A39" s="734" t="s">
        <v>1315</v>
      </c>
      <c r="B39" s="736" t="s">
        <v>1316</v>
      </c>
      <c r="C39" s="730" t="s">
        <v>59</v>
      </c>
      <c r="D39" s="742"/>
      <c r="E39" s="730"/>
    </row>
    <row r="40" spans="1:5" ht="27">
      <c r="A40" s="734" t="s">
        <v>1312</v>
      </c>
      <c r="B40" s="736" t="s">
        <v>1317</v>
      </c>
      <c r="C40" s="730" t="s">
        <v>1318</v>
      </c>
      <c r="D40" s="742"/>
      <c r="E40" s="730"/>
    </row>
    <row r="41" spans="1:5" ht="14.25">
      <c r="A41" s="734" t="s">
        <v>1319</v>
      </c>
      <c r="B41" s="736" t="s">
        <v>1320</v>
      </c>
      <c r="C41" s="730" t="s">
        <v>1321</v>
      </c>
      <c r="D41" s="742"/>
      <c r="E41" s="730"/>
    </row>
    <row r="42" spans="1:5" ht="14.25">
      <c r="A42" s="734" t="s">
        <v>1322</v>
      </c>
      <c r="B42" s="736" t="s">
        <v>1323</v>
      </c>
      <c r="C42" s="730" t="s">
        <v>3</v>
      </c>
      <c r="D42" s="742"/>
      <c r="E42" s="730"/>
    </row>
    <row r="43" spans="1:5" ht="14.25">
      <c r="A43" s="734" t="s">
        <v>1324</v>
      </c>
      <c r="B43" s="736" t="s">
        <v>1325</v>
      </c>
      <c r="C43" s="730" t="s">
        <v>242</v>
      </c>
      <c r="D43" s="742"/>
      <c r="E43" s="730"/>
    </row>
    <row r="44" spans="1:5" ht="14.25">
      <c r="A44" s="734" t="s">
        <v>1326</v>
      </c>
      <c r="B44" s="736" t="s">
        <v>1327</v>
      </c>
      <c r="C44" s="730" t="s">
        <v>242</v>
      </c>
      <c r="D44" s="742"/>
      <c r="E44" s="730"/>
    </row>
    <row r="45" spans="1:5" ht="14.25">
      <c r="A45" s="734" t="s">
        <v>1328</v>
      </c>
      <c r="B45" s="736" t="s">
        <v>263</v>
      </c>
      <c r="C45" s="730" t="s">
        <v>3</v>
      </c>
      <c r="D45" s="742"/>
      <c r="E45" s="730"/>
    </row>
    <row r="46" spans="1:5" ht="14.25">
      <c r="A46" s="734" t="s">
        <v>1329</v>
      </c>
      <c r="B46" s="736" t="s">
        <v>1330</v>
      </c>
      <c r="C46" s="730" t="s">
        <v>242</v>
      </c>
      <c r="D46" s="742"/>
      <c r="E46" s="730"/>
    </row>
    <row r="47" spans="1:5" ht="14.25">
      <c r="A47" s="734" t="s">
        <v>1331</v>
      </c>
      <c r="B47" s="736" t="s">
        <v>1332</v>
      </c>
      <c r="C47" s="730" t="s">
        <v>242</v>
      </c>
      <c r="D47" s="743"/>
      <c r="E47" s="735"/>
    </row>
    <row r="48" spans="1:5" ht="14.25">
      <c r="A48" s="774"/>
      <c r="B48" s="736"/>
      <c r="C48" s="775"/>
      <c r="D48" s="776"/>
      <c r="E48" s="776"/>
    </row>
    <row r="49" spans="1:5" ht="14.25">
      <c r="A49" s="777" t="s">
        <v>40</v>
      </c>
      <c r="B49" s="837" t="s">
        <v>1333</v>
      </c>
      <c r="C49" s="837"/>
      <c r="D49" s="837"/>
      <c r="E49" s="837"/>
    </row>
    <row r="50" spans="1:5" s="703" customFormat="1" ht="38.25" customHeight="1">
      <c r="A50" s="787" t="s">
        <v>1334</v>
      </c>
      <c r="B50" s="788" t="s">
        <v>1335</v>
      </c>
      <c r="C50" s="788" t="s">
        <v>1285</v>
      </c>
      <c r="D50" s="850" t="s">
        <v>1336</v>
      </c>
      <c r="E50" s="851"/>
    </row>
    <row r="51" spans="1:5" ht="15" customHeight="1">
      <c r="A51" s="838" t="s">
        <v>124</v>
      </c>
      <c r="B51" s="834" t="s">
        <v>1337</v>
      </c>
      <c r="C51" s="742" t="s">
        <v>1338</v>
      </c>
      <c r="D51" s="841" t="s">
        <v>1339</v>
      </c>
      <c r="E51" s="842"/>
    </row>
    <row r="52" spans="1:5" ht="15" customHeight="1">
      <c r="A52" s="838"/>
      <c r="B52" s="834"/>
      <c r="C52" s="742" t="s">
        <v>1340</v>
      </c>
      <c r="D52" s="841" t="s">
        <v>1341</v>
      </c>
      <c r="E52" s="842"/>
    </row>
    <row r="53" spans="1:5" ht="14.25">
      <c r="A53" s="734" t="s">
        <v>126</v>
      </c>
      <c r="B53" s="731" t="s">
        <v>1342</v>
      </c>
      <c r="C53" s="742" t="s">
        <v>1342</v>
      </c>
      <c r="D53" s="841" t="s">
        <v>1343</v>
      </c>
      <c r="E53" s="842"/>
    </row>
    <row r="54" spans="1:5" ht="14.25">
      <c r="A54" s="734" t="s">
        <v>139</v>
      </c>
      <c r="B54" s="731" t="s">
        <v>1344</v>
      </c>
      <c r="C54" s="742" t="s">
        <v>1344</v>
      </c>
      <c r="D54" s="841" t="s">
        <v>1345</v>
      </c>
      <c r="E54" s="842"/>
    </row>
    <row r="55" spans="1:5" ht="14.25">
      <c r="A55" s="734" t="s">
        <v>127</v>
      </c>
      <c r="B55" s="731" t="s">
        <v>1346</v>
      </c>
      <c r="C55" s="742" t="s">
        <v>1346</v>
      </c>
      <c r="D55" s="841" t="s">
        <v>1347</v>
      </c>
      <c r="E55" s="842"/>
    </row>
    <row r="56" spans="1:5" ht="15" customHeight="1">
      <c r="A56" s="838" t="s">
        <v>129</v>
      </c>
      <c r="B56" s="834" t="s">
        <v>1348</v>
      </c>
      <c r="C56" s="742" t="s">
        <v>1349</v>
      </c>
      <c r="D56" s="841" t="s">
        <v>1350</v>
      </c>
      <c r="E56" s="842"/>
    </row>
    <row r="57" spans="1:5" ht="14.25" customHeight="1">
      <c r="A57" s="838"/>
      <c r="B57" s="834"/>
      <c r="C57" s="742" t="s">
        <v>1351</v>
      </c>
      <c r="D57" s="841" t="s">
        <v>1352</v>
      </c>
      <c r="E57" s="842"/>
    </row>
    <row r="58" spans="1:5" ht="15" customHeight="1">
      <c r="A58" s="734" t="s">
        <v>131</v>
      </c>
      <c r="B58" s="731" t="s">
        <v>1353</v>
      </c>
      <c r="C58" s="742" t="s">
        <v>1353</v>
      </c>
      <c r="D58" s="841" t="s">
        <v>1354</v>
      </c>
      <c r="E58" s="842"/>
    </row>
    <row r="59" spans="1:5" ht="14.25" customHeight="1">
      <c r="A59" s="838" t="s">
        <v>133</v>
      </c>
      <c r="B59" s="834" t="s">
        <v>1355</v>
      </c>
      <c r="C59" s="742" t="s">
        <v>1356</v>
      </c>
      <c r="D59" s="841" t="s">
        <v>1357</v>
      </c>
      <c r="E59" s="842"/>
    </row>
    <row r="60" spans="1:5" ht="14.25" customHeight="1">
      <c r="A60" s="838"/>
      <c r="B60" s="834"/>
      <c r="C60" s="742" t="s">
        <v>1358</v>
      </c>
      <c r="D60" s="841" t="s">
        <v>1359</v>
      </c>
      <c r="E60" s="842"/>
    </row>
    <row r="61" spans="1:5" ht="14.25" customHeight="1">
      <c r="A61" s="838"/>
      <c r="B61" s="834"/>
      <c r="C61" s="742" t="s">
        <v>1360</v>
      </c>
      <c r="D61" s="841" t="s">
        <v>1361</v>
      </c>
      <c r="E61" s="842"/>
    </row>
    <row r="62" spans="1:5" ht="14.25" customHeight="1">
      <c r="A62" s="838"/>
      <c r="B62" s="834"/>
      <c r="C62" s="742" t="s">
        <v>1362</v>
      </c>
      <c r="D62" s="841" t="s">
        <v>1363</v>
      </c>
      <c r="E62" s="842"/>
    </row>
    <row r="63" spans="1:5" ht="15" customHeight="1">
      <c r="A63" s="734" t="s">
        <v>135</v>
      </c>
      <c r="B63" s="731" t="s">
        <v>1364</v>
      </c>
      <c r="C63" s="742" t="s">
        <v>1364</v>
      </c>
      <c r="D63" s="841" t="s">
        <v>1365</v>
      </c>
      <c r="E63" s="842"/>
    </row>
    <row r="66" spans="1:5" ht="14.25">
      <c r="A66" s="852" t="s">
        <v>1642</v>
      </c>
      <c r="B66" s="852"/>
      <c r="C66" s="852"/>
      <c r="D66" s="852"/>
      <c r="E66" s="852"/>
    </row>
    <row r="67" spans="1:5" ht="14.25">
      <c r="A67" s="852"/>
      <c r="B67" s="852"/>
      <c r="C67" s="852"/>
      <c r="D67" s="852"/>
      <c r="E67" s="852"/>
    </row>
    <row r="68" spans="1:5" ht="14.25">
      <c r="A68" s="801" t="s">
        <v>1643</v>
      </c>
      <c r="B68" s="802"/>
      <c r="C68" s="802"/>
      <c r="D68" s="802"/>
      <c r="E68" s="802"/>
    </row>
    <row r="69" spans="1:5" ht="14.25">
      <c r="A69" s="803"/>
      <c r="B69" s="804"/>
      <c r="C69" s="805"/>
      <c r="D69" s="806" t="s">
        <v>1614</v>
      </c>
      <c r="E69" s="807"/>
    </row>
    <row r="70" spans="1:5" ht="14.25">
      <c r="A70" s="803"/>
      <c r="B70" s="804"/>
      <c r="C70" s="805"/>
      <c r="D70" s="801" t="s">
        <v>1615</v>
      </c>
      <c r="E70" s="807"/>
    </row>
    <row r="71" spans="1:5" ht="14.25">
      <c r="A71" s="806" t="s">
        <v>1644</v>
      </c>
      <c r="B71" s="804"/>
      <c r="C71" s="805"/>
      <c r="D71" s="801" t="s">
        <v>1616</v>
      </c>
      <c r="E71" s="807"/>
    </row>
    <row r="72" spans="1:5" ht="14.25">
      <c r="A72" s="801" t="s">
        <v>1645</v>
      </c>
      <c r="B72" s="804"/>
      <c r="C72" s="805"/>
      <c r="D72" s="808"/>
      <c r="E72" s="807"/>
    </row>
    <row r="73" spans="1:5" ht="14.25">
      <c r="A73" s="801" t="s">
        <v>1617</v>
      </c>
      <c r="B73" s="804"/>
      <c r="C73" s="804"/>
      <c r="D73" s="804"/>
      <c r="E73" s="807"/>
    </row>
    <row r="74" spans="1:5" ht="14.25">
      <c r="A74" s="801"/>
      <c r="B74" s="804"/>
      <c r="C74" s="804"/>
      <c r="D74" s="804"/>
      <c r="E74" s="807"/>
    </row>
    <row r="75" spans="1:5" ht="14.25">
      <c r="A75" s="809"/>
      <c r="B75" s="807"/>
      <c r="C75" s="807"/>
      <c r="D75" s="808"/>
      <c r="E75" s="807"/>
    </row>
    <row r="76" spans="1:5" ht="14.25">
      <c r="A76" s="801" t="s">
        <v>1618</v>
      </c>
      <c r="B76" s="807"/>
      <c r="C76" s="807"/>
      <c r="D76" s="807"/>
      <c r="E76" s="807"/>
    </row>
    <row r="77" spans="1:5" ht="14.25">
      <c r="A77" s="810"/>
      <c r="B77" s="811"/>
      <c r="C77" s="812"/>
      <c r="D77" s="812"/>
      <c r="E77" s="812"/>
    </row>
    <row r="78" spans="1:5" ht="14.25">
      <c r="A78" s="803"/>
      <c r="B78" s="808"/>
      <c r="C78" s="808"/>
      <c r="D78" s="808"/>
      <c r="E78" s="813"/>
    </row>
    <row r="79" spans="1:5" ht="14.25">
      <c r="A79" s="809" t="s">
        <v>779</v>
      </c>
      <c r="B79" s="808"/>
      <c r="C79" s="808"/>
      <c r="D79" s="808"/>
      <c r="E79" s="813"/>
    </row>
  </sheetData>
  <sheetProtection password="FABB" sheet="1"/>
  <mergeCells count="47">
    <mergeCell ref="A66:E67"/>
    <mergeCell ref="D62:E62"/>
    <mergeCell ref="D53:E53"/>
    <mergeCell ref="D54:E54"/>
    <mergeCell ref="D55:E55"/>
    <mergeCell ref="D56:E56"/>
    <mergeCell ref="D63:E63"/>
    <mergeCell ref="D57:E57"/>
    <mergeCell ref="D58:E58"/>
    <mergeCell ref="D59:E59"/>
    <mergeCell ref="D60:E60"/>
    <mergeCell ref="D61:E61"/>
    <mergeCell ref="D50:E50"/>
    <mergeCell ref="B34:E34"/>
    <mergeCell ref="A37:E37"/>
    <mergeCell ref="B38:E38"/>
    <mergeCell ref="D51:E51"/>
    <mergeCell ref="D52:E52"/>
    <mergeCell ref="A56:A57"/>
    <mergeCell ref="B56:B57"/>
    <mergeCell ref="A59:A62"/>
    <mergeCell ref="A1:E1"/>
    <mergeCell ref="A2:E2"/>
    <mergeCell ref="C3:E3"/>
    <mergeCell ref="C4:E4"/>
    <mergeCell ref="C5:E5"/>
    <mergeCell ref="C6:E6"/>
    <mergeCell ref="B7:B8"/>
    <mergeCell ref="B12:E12"/>
    <mergeCell ref="B13:E13"/>
    <mergeCell ref="A21:B21"/>
    <mergeCell ref="B22:E22"/>
    <mergeCell ref="C7:D7"/>
    <mergeCell ref="C8:D8"/>
    <mergeCell ref="C9:E9"/>
    <mergeCell ref="C10:E10"/>
    <mergeCell ref="C11:E11"/>
    <mergeCell ref="A23:A24"/>
    <mergeCell ref="B23:B24"/>
    <mergeCell ref="A14:A15"/>
    <mergeCell ref="B14:B15"/>
    <mergeCell ref="B59:B62"/>
    <mergeCell ref="A5:A6"/>
    <mergeCell ref="B49:E49"/>
    <mergeCell ref="A51:A52"/>
    <mergeCell ref="B51:B52"/>
    <mergeCell ref="A7:A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B24" sqref="B24:G28"/>
    </sheetView>
  </sheetViews>
  <sheetFormatPr defaultColWidth="0" defaultRowHeight="0" customHeight="1" zeroHeight="1"/>
  <cols>
    <col min="1" max="1" width="6.421875" style="31" customWidth="1"/>
    <col min="2" max="2" width="43.28125" style="32" customWidth="1"/>
    <col min="3" max="3" width="17.421875" style="33" customWidth="1"/>
    <col min="4" max="4" width="14.57421875" style="29" customWidth="1"/>
    <col min="5" max="5" width="15.140625" style="29" customWidth="1"/>
    <col min="6" max="6" width="12.7109375" style="29" customWidth="1"/>
    <col min="7" max="7" width="16.00390625" style="29" customWidth="1"/>
    <col min="8" max="16384" width="9.140625" style="29" hidden="1" customWidth="1"/>
  </cols>
  <sheetData>
    <row r="1" spans="1:7" ht="30" customHeight="1">
      <c r="A1" s="821" t="s">
        <v>1259</v>
      </c>
      <c r="B1" s="821"/>
      <c r="C1" s="821"/>
      <c r="D1" s="821"/>
      <c r="E1" s="821"/>
      <c r="F1" s="821"/>
      <c r="G1" s="821"/>
    </row>
    <row r="2" spans="1:7" ht="30" customHeight="1">
      <c r="A2" s="860" t="s">
        <v>368</v>
      </c>
      <c r="B2" s="861"/>
      <c r="C2" s="861"/>
      <c r="D2" s="861"/>
      <c r="E2" s="861"/>
      <c r="F2" s="861"/>
      <c r="G2" s="861"/>
    </row>
    <row r="3" spans="1:7" ht="17.25">
      <c r="A3" s="442">
        <v>1</v>
      </c>
      <c r="B3" s="15" t="s">
        <v>121</v>
      </c>
      <c r="C3" s="862"/>
      <c r="D3" s="862"/>
      <c r="E3" s="862"/>
      <c r="F3" s="862"/>
      <c r="G3" s="862"/>
    </row>
    <row r="4" spans="1:7" ht="17.25">
      <c r="A4" s="858">
        <v>2</v>
      </c>
      <c r="B4" s="15" t="s">
        <v>1503</v>
      </c>
      <c r="C4" s="862"/>
      <c r="D4" s="862"/>
      <c r="E4" s="862"/>
      <c r="F4" s="862"/>
      <c r="G4" s="862"/>
    </row>
    <row r="5" spans="1:7" ht="17.25">
      <c r="A5" s="859"/>
      <c r="B5" s="712" t="s">
        <v>1613</v>
      </c>
      <c r="C5" s="853"/>
      <c r="D5" s="854"/>
      <c r="E5" s="854"/>
      <c r="F5" s="854"/>
      <c r="G5" s="857"/>
    </row>
    <row r="6" spans="1:7" ht="17.25">
      <c r="A6" s="739">
        <v>3</v>
      </c>
      <c r="B6" s="712" t="s">
        <v>1285</v>
      </c>
      <c r="C6" s="853" t="s">
        <v>1619</v>
      </c>
      <c r="D6" s="854"/>
      <c r="E6" s="770" t="s">
        <v>1285</v>
      </c>
      <c r="F6" s="855" t="str">
        <f>C6</f>
        <v>PPC</v>
      </c>
      <c r="G6" s="856"/>
    </row>
    <row r="7" spans="1:7" ht="17.25">
      <c r="A7" s="442">
        <v>4</v>
      </c>
      <c r="B7" s="866" t="s">
        <v>348</v>
      </c>
      <c r="C7" s="866"/>
      <c r="D7" s="866"/>
      <c r="E7" s="866"/>
      <c r="F7" s="866"/>
      <c r="G7" s="866"/>
    </row>
    <row r="8" spans="1:7" ht="17.25">
      <c r="A8" s="869" t="s">
        <v>6</v>
      </c>
      <c r="B8" s="443" t="s">
        <v>349</v>
      </c>
      <c r="C8" s="862"/>
      <c r="D8" s="862"/>
      <c r="E8" s="862"/>
      <c r="F8" s="862"/>
      <c r="G8" s="862"/>
    </row>
    <row r="9" spans="1:7" ht="17.25">
      <c r="A9" s="869"/>
      <c r="B9" s="443" t="s">
        <v>367</v>
      </c>
      <c r="C9" s="870"/>
      <c r="D9" s="871"/>
      <c r="E9" s="871"/>
      <c r="F9" s="871"/>
      <c r="G9" s="872"/>
    </row>
    <row r="10" spans="1:7" ht="17.25">
      <c r="A10" s="869"/>
      <c r="B10" s="443" t="s">
        <v>350</v>
      </c>
      <c r="C10" s="862"/>
      <c r="D10" s="862"/>
      <c r="E10" s="862"/>
      <c r="F10" s="862"/>
      <c r="G10" s="862"/>
    </row>
    <row r="11" spans="1:7" ht="17.25">
      <c r="A11" s="869"/>
      <c r="B11" s="443" t="s">
        <v>351</v>
      </c>
      <c r="C11" s="868"/>
      <c r="D11" s="868"/>
      <c r="E11" s="868"/>
      <c r="F11" s="444" t="s">
        <v>352</v>
      </c>
      <c r="G11" s="446"/>
    </row>
    <row r="12" spans="1:7" ht="17.25">
      <c r="A12" s="869"/>
      <c r="B12" s="443" t="s">
        <v>353</v>
      </c>
      <c r="C12" s="868"/>
      <c r="D12" s="868"/>
      <c r="E12" s="444" t="s">
        <v>354</v>
      </c>
      <c r="F12" s="868"/>
      <c r="G12" s="868"/>
    </row>
    <row r="13" spans="1:7" ht="17.25">
      <c r="A13" s="869" t="s">
        <v>7</v>
      </c>
      <c r="B13" s="25" t="s">
        <v>355</v>
      </c>
      <c r="C13" s="863"/>
      <c r="D13" s="864"/>
      <c r="E13" s="864"/>
      <c r="F13" s="864"/>
      <c r="G13" s="865"/>
    </row>
    <row r="14" spans="1:7" ht="17.25">
      <c r="A14" s="869"/>
      <c r="B14" s="444" t="s">
        <v>356</v>
      </c>
      <c r="C14" s="863"/>
      <c r="D14" s="864"/>
      <c r="E14" s="864"/>
      <c r="F14" s="864"/>
      <c r="G14" s="865"/>
    </row>
    <row r="15" spans="1:7" ht="17.25">
      <c r="A15" s="869"/>
      <c r="B15" s="443" t="s">
        <v>1180</v>
      </c>
      <c r="C15" s="868"/>
      <c r="D15" s="868"/>
      <c r="E15" s="444" t="s">
        <v>354</v>
      </c>
      <c r="F15" s="868"/>
      <c r="G15" s="868"/>
    </row>
    <row r="16" spans="1:7" ht="17.25">
      <c r="A16" s="869"/>
      <c r="B16" s="444" t="s">
        <v>357</v>
      </c>
      <c r="C16" s="43"/>
      <c r="D16" s="444" t="s">
        <v>358</v>
      </c>
      <c r="E16" s="867"/>
      <c r="F16" s="868"/>
      <c r="G16" s="868"/>
    </row>
    <row r="17" spans="1:7" ht="17.25">
      <c r="A17" s="442">
        <v>5</v>
      </c>
      <c r="B17" s="866" t="s">
        <v>359</v>
      </c>
      <c r="C17" s="866"/>
      <c r="D17" s="866"/>
      <c r="E17" s="866"/>
      <c r="F17" s="866"/>
      <c r="G17" s="866"/>
    </row>
    <row r="18" spans="1:7" ht="17.25">
      <c r="A18" s="869" t="s">
        <v>6</v>
      </c>
      <c r="B18" s="25" t="s">
        <v>360</v>
      </c>
      <c r="C18" s="863"/>
      <c r="D18" s="864"/>
      <c r="E18" s="864"/>
      <c r="F18" s="864"/>
      <c r="G18" s="865"/>
    </row>
    <row r="19" spans="1:7" ht="17.25">
      <c r="A19" s="869"/>
      <c r="B19" s="444" t="s">
        <v>356</v>
      </c>
      <c r="C19" s="863"/>
      <c r="D19" s="864"/>
      <c r="E19" s="864"/>
      <c r="F19" s="864"/>
      <c r="G19" s="865"/>
    </row>
    <row r="20" spans="1:7" ht="17.25">
      <c r="A20" s="869"/>
      <c r="B20" s="444" t="s">
        <v>361</v>
      </c>
      <c r="C20" s="863"/>
      <c r="D20" s="864"/>
      <c r="E20" s="864"/>
      <c r="F20" s="864"/>
      <c r="G20" s="865"/>
    </row>
    <row r="21" spans="1:7" ht="17.25">
      <c r="A21" s="869"/>
      <c r="B21" s="443" t="s">
        <v>349</v>
      </c>
      <c r="C21" s="862"/>
      <c r="D21" s="862"/>
      <c r="E21" s="862"/>
      <c r="F21" s="862"/>
      <c r="G21" s="862"/>
    </row>
    <row r="22" spans="1:7" ht="17.25">
      <c r="A22" s="869"/>
      <c r="B22" s="443" t="s">
        <v>367</v>
      </c>
      <c r="C22" s="870"/>
      <c r="D22" s="871"/>
      <c r="E22" s="871"/>
      <c r="F22" s="871"/>
      <c r="G22" s="872"/>
    </row>
    <row r="23" spans="1:7" ht="17.25">
      <c r="A23" s="869"/>
      <c r="B23" s="443" t="s">
        <v>350</v>
      </c>
      <c r="C23" s="862"/>
      <c r="D23" s="862"/>
      <c r="E23" s="862"/>
      <c r="F23" s="862"/>
      <c r="G23" s="862"/>
    </row>
    <row r="24" spans="1:7" ht="17.25">
      <c r="A24" s="869"/>
      <c r="B24" s="443" t="s">
        <v>351</v>
      </c>
      <c r="C24" s="868"/>
      <c r="D24" s="868"/>
      <c r="E24" s="868"/>
      <c r="F24" s="444" t="s">
        <v>352</v>
      </c>
      <c r="G24" s="446"/>
    </row>
    <row r="25" spans="1:7" ht="17.25">
      <c r="A25" s="869"/>
      <c r="B25" s="443" t="s">
        <v>1180</v>
      </c>
      <c r="C25" s="868"/>
      <c r="D25" s="868"/>
      <c r="E25" s="444" t="s">
        <v>354</v>
      </c>
      <c r="F25" s="868"/>
      <c r="G25" s="868"/>
    </row>
    <row r="26" spans="1:7" ht="17.25">
      <c r="A26" s="442">
        <v>6</v>
      </c>
      <c r="B26" s="866" t="s">
        <v>362</v>
      </c>
      <c r="C26" s="866"/>
      <c r="D26" s="866"/>
      <c r="E26" s="866"/>
      <c r="F26" s="866"/>
      <c r="G26" s="866"/>
    </row>
    <row r="27" spans="1:7" ht="17.25">
      <c r="A27" s="869" t="s">
        <v>6</v>
      </c>
      <c r="B27" s="15" t="s">
        <v>363</v>
      </c>
      <c r="C27" s="868"/>
      <c r="D27" s="868"/>
      <c r="E27" s="868"/>
      <c r="F27" s="868"/>
      <c r="G27" s="868"/>
    </row>
    <row r="28" spans="1:7" ht="17.25">
      <c r="A28" s="869"/>
      <c r="B28" s="443" t="s">
        <v>356</v>
      </c>
      <c r="C28" s="868"/>
      <c r="D28" s="868"/>
      <c r="E28" s="874" t="s">
        <v>364</v>
      </c>
      <c r="F28" s="874"/>
      <c r="G28" s="446"/>
    </row>
    <row r="29" spans="1:7" ht="17.25">
      <c r="A29" s="869"/>
      <c r="B29" s="444" t="s">
        <v>365</v>
      </c>
      <c r="C29" s="864"/>
      <c r="D29" s="864"/>
      <c r="E29" s="864"/>
      <c r="F29" s="864"/>
      <c r="G29" s="865"/>
    </row>
    <row r="30" spans="1:7" ht="17.25">
      <c r="A30" s="869"/>
      <c r="B30" s="443" t="s">
        <v>353</v>
      </c>
      <c r="C30" s="868"/>
      <c r="D30" s="868"/>
      <c r="E30" s="444" t="s">
        <v>354</v>
      </c>
      <c r="F30" s="868"/>
      <c r="G30" s="868"/>
    </row>
    <row r="31" spans="1:7" ht="18" thickBot="1">
      <c r="A31" s="873"/>
      <c r="B31" s="445" t="s">
        <v>357</v>
      </c>
      <c r="C31" s="447"/>
      <c r="D31" s="445" t="s">
        <v>366</v>
      </c>
      <c r="E31" s="875"/>
      <c r="F31" s="876"/>
      <c r="G31" s="876"/>
    </row>
  </sheetData>
  <sheetProtection password="FABB" sheet="1" formatCells="0"/>
  <mergeCells count="42">
    <mergeCell ref="A27:A31"/>
    <mergeCell ref="C28:D28"/>
    <mergeCell ref="E28:F28"/>
    <mergeCell ref="C30:D30"/>
    <mergeCell ref="F30:G30"/>
    <mergeCell ref="E31:G31"/>
    <mergeCell ref="C27:G27"/>
    <mergeCell ref="C29:G29"/>
    <mergeCell ref="C9:G9"/>
    <mergeCell ref="C15:D15"/>
    <mergeCell ref="F15:G15"/>
    <mergeCell ref="C18:G18"/>
    <mergeCell ref="F25:G25"/>
    <mergeCell ref="C19:G19"/>
    <mergeCell ref="B26:G26"/>
    <mergeCell ref="C21:G21"/>
    <mergeCell ref="C22:G22"/>
    <mergeCell ref="C23:G23"/>
    <mergeCell ref="B7:G7"/>
    <mergeCell ref="C10:G10"/>
    <mergeCell ref="C11:E11"/>
    <mergeCell ref="C12:D12"/>
    <mergeCell ref="C13:G13"/>
    <mergeCell ref="C14:G14"/>
    <mergeCell ref="C8:G8"/>
    <mergeCell ref="C20:G20"/>
    <mergeCell ref="B17:G17"/>
    <mergeCell ref="E16:G16"/>
    <mergeCell ref="A13:A16"/>
    <mergeCell ref="A8:A12"/>
    <mergeCell ref="A18:A25"/>
    <mergeCell ref="C24:E24"/>
    <mergeCell ref="C25:D25"/>
    <mergeCell ref="F12:G12"/>
    <mergeCell ref="C6:D6"/>
    <mergeCell ref="F6:G6"/>
    <mergeCell ref="C5:G5"/>
    <mergeCell ref="A4:A5"/>
    <mergeCell ref="A1:G1"/>
    <mergeCell ref="A2:G2"/>
    <mergeCell ref="C3:G3"/>
    <mergeCell ref="C4:G4"/>
  </mergeCells>
  <dataValidations count="1">
    <dataValidation type="list" allowBlank="1" showInputMessage="1" showErrorMessage="1" sqref="C6:D6">
      <formula1>"PPC,OPC,PSC, White Cement, Wet, Grinding, Clinkerization"</formula1>
    </dataValidation>
  </dataValidations>
  <printOptions horizontalCentered="1"/>
  <pageMargins left="0.11811023622047245" right="0.1968503937007874" top="0.15748031496062992" bottom="0" header="0.31496062992125984" footer="0.31496062992125984"/>
  <pageSetup fitToHeight="1" fitToWidth="1" orientation="landscape" paperSize="9" r:id="rId1"/>
  <headerFooter>
    <oddFooter>&amp;C&amp;P&amp;RNote: Not to be quoted and not to be published without prior permission</oddFooter>
  </headerFooter>
</worksheet>
</file>

<file path=xl/worksheets/sheet4.xml><?xml version="1.0" encoding="utf-8"?>
<worksheet xmlns="http://schemas.openxmlformats.org/spreadsheetml/2006/main" xmlns:r="http://schemas.openxmlformats.org/officeDocument/2006/relationships">
  <dimension ref="A1:L569"/>
  <sheetViews>
    <sheetView zoomScale="82" zoomScaleNormal="82" zoomScalePageLayoutView="0" workbookViewId="0" topLeftCell="A537">
      <selection activeCell="H479" sqref="H479:H481"/>
    </sheetView>
  </sheetViews>
  <sheetFormatPr defaultColWidth="0" defaultRowHeight="15" zeroHeight="1"/>
  <cols>
    <col min="1" max="1" width="8.28125" style="4" customWidth="1"/>
    <col min="2" max="2" width="45.7109375" style="4" customWidth="1"/>
    <col min="3" max="3" width="25.421875" style="4" customWidth="1"/>
    <col min="4" max="4" width="15.140625" style="4" bestFit="1" customWidth="1"/>
    <col min="5" max="7" width="15.140625" style="4" customWidth="1"/>
    <col min="8" max="8" width="15.7109375" style="4" customWidth="1"/>
    <col min="9" max="9" width="18.140625" style="4" customWidth="1"/>
    <col min="10" max="10" width="40.7109375" style="4" customWidth="1"/>
    <col min="11" max="11" width="1.421875" style="680" customWidth="1"/>
    <col min="12" max="12" width="9.140625" style="680" hidden="1" customWidth="1"/>
    <col min="13" max="16384" width="0" style="680" hidden="1" customWidth="1"/>
  </cols>
  <sheetData>
    <row r="1" spans="1:10" ht="33" customHeight="1">
      <c r="A1" s="880" t="s">
        <v>1260</v>
      </c>
      <c r="B1" s="881"/>
      <c r="C1" s="881"/>
      <c r="D1" s="881"/>
      <c r="E1" s="881"/>
      <c r="F1" s="881"/>
      <c r="G1" s="881"/>
      <c r="H1" s="881"/>
      <c r="I1" s="881"/>
      <c r="J1" s="882"/>
    </row>
    <row r="2" spans="1:10" ht="33" customHeight="1">
      <c r="A2" s="877" t="str">
        <f>'General Information'!A2:G2</f>
        <v>Sector :-  Cement Sector</v>
      </c>
      <c r="B2" s="878"/>
      <c r="C2" s="878"/>
      <c r="D2" s="878"/>
      <c r="E2" s="878"/>
      <c r="F2" s="878"/>
      <c r="G2" s="878"/>
      <c r="H2" s="878"/>
      <c r="I2" s="878"/>
      <c r="J2" s="879"/>
    </row>
    <row r="3" spans="1:10" ht="28.5" customHeight="1">
      <c r="A3" s="883" t="str">
        <f>CONCATENATE('General Information'!B3,H2)</f>
        <v>Name of the Unit</v>
      </c>
      <c r="B3" s="884"/>
      <c r="C3" s="884" t="str">
        <f>'General Information'!C3&amp;"  "&amp;'General Information'!C8</f>
        <v>  </v>
      </c>
      <c r="D3" s="884"/>
      <c r="E3" s="884"/>
      <c r="F3" s="884"/>
      <c r="G3" s="884"/>
      <c r="H3" s="884"/>
      <c r="I3" s="884"/>
      <c r="J3" s="885"/>
    </row>
    <row r="4" spans="1:10" ht="42.75">
      <c r="A4" s="270" t="s">
        <v>0</v>
      </c>
      <c r="B4" s="271" t="s">
        <v>1</v>
      </c>
      <c r="C4" s="272" t="s">
        <v>639</v>
      </c>
      <c r="D4" s="272" t="s">
        <v>2</v>
      </c>
      <c r="E4" s="303" t="s">
        <v>1504</v>
      </c>
      <c r="F4" s="272" t="s">
        <v>1505</v>
      </c>
      <c r="G4" s="272" t="s">
        <v>1640</v>
      </c>
      <c r="H4" s="273" t="s">
        <v>1506</v>
      </c>
      <c r="I4" s="273" t="s">
        <v>1507</v>
      </c>
      <c r="J4" s="618" t="s">
        <v>162</v>
      </c>
    </row>
    <row r="5" spans="1:10" ht="409.5" customHeight="1" hidden="1">
      <c r="A5" s="70"/>
      <c r="B5" s="71"/>
      <c r="C5" s="287"/>
      <c r="D5" s="72"/>
      <c r="E5" s="72"/>
      <c r="F5" s="72"/>
      <c r="G5" s="72"/>
      <c r="H5" s="73"/>
      <c r="I5" s="71"/>
      <c r="J5" s="546"/>
    </row>
    <row r="6" spans="1:10" ht="14.25">
      <c r="A6" s="450" t="s">
        <v>6</v>
      </c>
      <c r="B6" s="330" t="s">
        <v>5</v>
      </c>
      <c r="C6" s="329"/>
      <c r="D6" s="451"/>
      <c r="E6" s="274" t="s">
        <v>1648</v>
      </c>
      <c r="F6" s="274" t="s">
        <v>1649</v>
      </c>
      <c r="G6" s="274" t="s">
        <v>1650</v>
      </c>
      <c r="H6" s="275"/>
      <c r="I6" s="274" t="s">
        <v>1647</v>
      </c>
      <c r="J6" s="619"/>
    </row>
    <row r="7" spans="1:10" ht="14.25">
      <c r="A7" s="96" t="s">
        <v>63</v>
      </c>
      <c r="B7" s="89" t="s">
        <v>78</v>
      </c>
      <c r="C7" s="90" t="s">
        <v>159</v>
      </c>
      <c r="D7" s="90" t="s">
        <v>76</v>
      </c>
      <c r="E7" s="313">
        <v>0</v>
      </c>
      <c r="F7" s="313">
        <v>0</v>
      </c>
      <c r="G7" s="313">
        <v>0</v>
      </c>
      <c r="H7" s="371">
        <f>AVERAGEA(E7:G7)</f>
        <v>0</v>
      </c>
      <c r="I7" s="313"/>
      <c r="J7" s="620"/>
    </row>
    <row r="8" spans="1:10" ht="14.25">
      <c r="A8" s="96" t="s">
        <v>64</v>
      </c>
      <c r="B8" s="89" t="s">
        <v>79</v>
      </c>
      <c r="C8" s="90" t="s">
        <v>159</v>
      </c>
      <c r="D8" s="90" t="s">
        <v>76</v>
      </c>
      <c r="E8" s="313">
        <v>0</v>
      </c>
      <c r="F8" s="313">
        <v>0</v>
      </c>
      <c r="G8" s="313">
        <v>0</v>
      </c>
      <c r="H8" s="371">
        <f aca="true" t="shared" si="0" ref="H8:H14">AVERAGEA(E8:G8)</f>
        <v>0</v>
      </c>
      <c r="I8" s="313"/>
      <c r="J8" s="620"/>
    </row>
    <row r="9" spans="1:10" ht="14.25">
      <c r="A9" s="96" t="s">
        <v>65</v>
      </c>
      <c r="B9" s="89" t="s">
        <v>80</v>
      </c>
      <c r="C9" s="90" t="s">
        <v>111</v>
      </c>
      <c r="D9" s="90" t="s">
        <v>76</v>
      </c>
      <c r="E9" s="313">
        <v>0</v>
      </c>
      <c r="F9" s="313">
        <v>0</v>
      </c>
      <c r="G9" s="313">
        <v>0</v>
      </c>
      <c r="H9" s="371">
        <f t="shared" si="0"/>
        <v>0</v>
      </c>
      <c r="I9" s="313"/>
      <c r="J9" s="620"/>
    </row>
    <row r="10" spans="1:10" ht="14.25">
      <c r="A10" s="96" t="s">
        <v>77</v>
      </c>
      <c r="B10" s="89" t="s">
        <v>160</v>
      </c>
      <c r="C10" s="90" t="s">
        <v>111</v>
      </c>
      <c r="D10" s="90" t="s">
        <v>76</v>
      </c>
      <c r="E10" s="313">
        <v>0</v>
      </c>
      <c r="F10" s="313">
        <v>0</v>
      </c>
      <c r="G10" s="313">
        <v>0</v>
      </c>
      <c r="H10" s="371">
        <f t="shared" si="0"/>
        <v>0</v>
      </c>
      <c r="I10" s="313"/>
      <c r="J10" s="620"/>
    </row>
    <row r="11" spans="1:10" ht="14.25">
      <c r="A11" s="96" t="s">
        <v>86</v>
      </c>
      <c r="B11" s="441" t="s">
        <v>190</v>
      </c>
      <c r="C11" s="90" t="s">
        <v>111</v>
      </c>
      <c r="D11" s="90" t="s">
        <v>76</v>
      </c>
      <c r="E11" s="313">
        <v>0</v>
      </c>
      <c r="F11" s="313">
        <v>0</v>
      </c>
      <c r="G11" s="313">
        <v>0</v>
      </c>
      <c r="H11" s="371">
        <f t="shared" si="0"/>
        <v>0</v>
      </c>
      <c r="I11" s="313"/>
      <c r="J11" s="620"/>
    </row>
    <row r="12" spans="1:10" ht="14.25">
      <c r="A12" s="96" t="s">
        <v>87</v>
      </c>
      <c r="B12" s="89" t="s">
        <v>191</v>
      </c>
      <c r="C12" s="90" t="s">
        <v>111</v>
      </c>
      <c r="D12" s="90" t="s">
        <v>76</v>
      </c>
      <c r="E12" s="313">
        <v>0</v>
      </c>
      <c r="F12" s="313">
        <v>0</v>
      </c>
      <c r="G12" s="313">
        <v>0</v>
      </c>
      <c r="H12" s="371">
        <f t="shared" si="0"/>
        <v>0</v>
      </c>
      <c r="I12" s="313"/>
      <c r="J12" s="620"/>
    </row>
    <row r="13" spans="1:10" ht="14.25">
      <c r="A13" s="96" t="s">
        <v>88</v>
      </c>
      <c r="B13" s="89" t="s">
        <v>192</v>
      </c>
      <c r="C13" s="90" t="s">
        <v>111</v>
      </c>
      <c r="D13" s="90" t="s">
        <v>76</v>
      </c>
      <c r="E13" s="313">
        <v>0</v>
      </c>
      <c r="F13" s="313">
        <v>0</v>
      </c>
      <c r="G13" s="313">
        <v>0</v>
      </c>
      <c r="H13" s="371">
        <f t="shared" si="0"/>
        <v>0</v>
      </c>
      <c r="I13" s="313"/>
      <c r="J13" s="620"/>
    </row>
    <row r="14" spans="1:10" ht="15" thickBot="1">
      <c r="A14" s="452" t="s">
        <v>89</v>
      </c>
      <c r="B14" s="453" t="s">
        <v>193</v>
      </c>
      <c r="C14" s="454" t="s">
        <v>111</v>
      </c>
      <c r="D14" s="454" t="s">
        <v>76</v>
      </c>
      <c r="E14" s="313">
        <v>0</v>
      </c>
      <c r="F14" s="313">
        <v>0</v>
      </c>
      <c r="G14" s="313">
        <v>0</v>
      </c>
      <c r="H14" s="371">
        <f t="shared" si="0"/>
        <v>0</v>
      </c>
      <c r="I14" s="313"/>
      <c r="J14" s="620"/>
    </row>
    <row r="15" spans="1:10" ht="15" thickBot="1">
      <c r="A15" s="54" t="s">
        <v>90</v>
      </c>
      <c r="B15" s="52" t="s">
        <v>1076</v>
      </c>
      <c r="C15" s="54" t="s">
        <v>108</v>
      </c>
      <c r="D15" s="54" t="s">
        <v>3</v>
      </c>
      <c r="E15" s="345">
        <f>IF(E7=0,(0),(E9*100/E7))</f>
        <v>0</v>
      </c>
      <c r="F15" s="345">
        <f>IF(F7=0,(0),(F9*100/F7))</f>
        <v>0</v>
      </c>
      <c r="G15" s="345">
        <f>IF(G7=0,(0),(G9*100/G7))</f>
        <v>0</v>
      </c>
      <c r="H15" s="345">
        <f>IF(H7=0,(0),(H9*100/H7))</f>
        <v>0</v>
      </c>
      <c r="I15" s="345">
        <f>IF(I7=0,(0),(I9*100/I7))</f>
        <v>0</v>
      </c>
      <c r="J15" s="622"/>
    </row>
    <row r="16" spans="1:10" ht="15" thickBot="1">
      <c r="A16" s="307" t="s">
        <v>91</v>
      </c>
      <c r="B16" s="306" t="s">
        <v>1077</v>
      </c>
      <c r="C16" s="307" t="s">
        <v>109</v>
      </c>
      <c r="D16" s="307" t="s">
        <v>3</v>
      </c>
      <c r="E16" s="346">
        <f>IF(E8=0,0,E10*100/E8)</f>
        <v>0</v>
      </c>
      <c r="F16" s="346">
        <f>IF(F8=0,0,F10*100/F8)</f>
        <v>0</v>
      </c>
      <c r="G16" s="346">
        <f>IF(G8=0,0,G10*100/G8)</f>
        <v>0</v>
      </c>
      <c r="H16" s="346">
        <f>IF(H8=0,0,H10*100/H8)</f>
        <v>0</v>
      </c>
      <c r="I16" s="346">
        <f>IF(I8=0,0,I10*100/I8)</f>
        <v>0</v>
      </c>
      <c r="J16" s="368"/>
    </row>
    <row r="17" spans="1:10" ht="14.25">
      <c r="A17" s="113" t="s">
        <v>96</v>
      </c>
      <c r="B17" s="455" t="s">
        <v>81</v>
      </c>
      <c r="C17" s="456" t="s">
        <v>111</v>
      </c>
      <c r="D17" s="457" t="s">
        <v>76</v>
      </c>
      <c r="E17" s="313">
        <v>0</v>
      </c>
      <c r="F17" s="313">
        <v>0</v>
      </c>
      <c r="G17" s="313">
        <v>0</v>
      </c>
      <c r="H17" s="448">
        <f aca="true" t="shared" si="1" ref="H17:H25">AVERAGEA(E17:G17)</f>
        <v>0</v>
      </c>
      <c r="I17" s="313"/>
      <c r="J17" s="620"/>
    </row>
    <row r="18" spans="1:10" ht="14.25">
      <c r="A18" s="96" t="s">
        <v>97</v>
      </c>
      <c r="B18" s="89" t="s">
        <v>1509</v>
      </c>
      <c r="C18" s="90" t="s">
        <v>111</v>
      </c>
      <c r="D18" s="92" t="s">
        <v>76</v>
      </c>
      <c r="E18" s="313">
        <v>0</v>
      </c>
      <c r="F18" s="313">
        <v>0</v>
      </c>
      <c r="G18" s="313">
        <v>0</v>
      </c>
      <c r="H18" s="371">
        <f t="shared" si="1"/>
        <v>0</v>
      </c>
      <c r="I18" s="313"/>
      <c r="J18" s="620"/>
    </row>
    <row r="19" spans="1:10" ht="15" customHeight="1">
      <c r="A19" s="96" t="s">
        <v>98</v>
      </c>
      <c r="B19" s="89" t="s">
        <v>83</v>
      </c>
      <c r="C19" s="90" t="s">
        <v>111</v>
      </c>
      <c r="D19" s="92" t="s">
        <v>76</v>
      </c>
      <c r="E19" s="313">
        <v>0</v>
      </c>
      <c r="F19" s="313">
        <v>0</v>
      </c>
      <c r="G19" s="313">
        <v>0</v>
      </c>
      <c r="H19" s="371">
        <f t="shared" si="1"/>
        <v>0</v>
      </c>
      <c r="I19" s="313"/>
      <c r="J19" s="620"/>
    </row>
    <row r="20" spans="1:10" ht="15" customHeight="1">
      <c r="A20" s="96" t="s">
        <v>166</v>
      </c>
      <c r="B20" s="89" t="s">
        <v>172</v>
      </c>
      <c r="C20" s="90" t="s">
        <v>111</v>
      </c>
      <c r="D20" s="92" t="s">
        <v>76</v>
      </c>
      <c r="E20" s="313">
        <v>0</v>
      </c>
      <c r="F20" s="313">
        <v>0</v>
      </c>
      <c r="G20" s="313">
        <v>0</v>
      </c>
      <c r="H20" s="371">
        <f t="shared" si="1"/>
        <v>0</v>
      </c>
      <c r="I20" s="313"/>
      <c r="J20" s="620"/>
    </row>
    <row r="21" spans="1:10" ht="15" customHeight="1">
      <c r="A21" s="96" t="s">
        <v>167</v>
      </c>
      <c r="B21" s="89" t="s">
        <v>136</v>
      </c>
      <c r="C21" s="90" t="s">
        <v>111</v>
      </c>
      <c r="D21" s="92" t="s">
        <v>76</v>
      </c>
      <c r="E21" s="313">
        <v>0</v>
      </c>
      <c r="F21" s="313">
        <v>0</v>
      </c>
      <c r="G21" s="313">
        <v>0</v>
      </c>
      <c r="H21" s="371">
        <f t="shared" si="1"/>
        <v>0</v>
      </c>
      <c r="I21" s="313"/>
      <c r="J21" s="620"/>
    </row>
    <row r="22" spans="1:10" ht="14.25">
      <c r="A22" s="96" t="s">
        <v>168</v>
      </c>
      <c r="B22" s="89" t="s">
        <v>93</v>
      </c>
      <c r="C22" s="90" t="s">
        <v>111</v>
      </c>
      <c r="D22" s="92" t="s">
        <v>76</v>
      </c>
      <c r="E22" s="313">
        <v>0</v>
      </c>
      <c r="F22" s="313">
        <v>0</v>
      </c>
      <c r="G22" s="313">
        <v>0</v>
      </c>
      <c r="H22" s="371">
        <f t="shared" si="1"/>
        <v>0</v>
      </c>
      <c r="I22" s="313"/>
      <c r="J22" s="620"/>
    </row>
    <row r="23" spans="1:10" ht="14.25">
      <c r="A23" s="96" t="s">
        <v>173</v>
      </c>
      <c r="B23" s="89" t="s">
        <v>92</v>
      </c>
      <c r="C23" s="90" t="s">
        <v>111</v>
      </c>
      <c r="D23" s="92" t="s">
        <v>76</v>
      </c>
      <c r="E23" s="313">
        <v>0</v>
      </c>
      <c r="F23" s="313">
        <v>0</v>
      </c>
      <c r="G23" s="313">
        <v>0</v>
      </c>
      <c r="H23" s="371">
        <f t="shared" si="1"/>
        <v>0</v>
      </c>
      <c r="I23" s="313"/>
      <c r="J23" s="620"/>
    </row>
    <row r="24" spans="1:10" ht="14.25">
      <c r="A24" s="96" t="s">
        <v>174</v>
      </c>
      <c r="B24" s="89" t="s">
        <v>94</v>
      </c>
      <c r="C24" s="90" t="s">
        <v>111</v>
      </c>
      <c r="D24" s="92" t="s">
        <v>76</v>
      </c>
      <c r="E24" s="313">
        <v>0</v>
      </c>
      <c r="F24" s="313">
        <v>0</v>
      </c>
      <c r="G24" s="313">
        <v>0</v>
      </c>
      <c r="H24" s="371">
        <f t="shared" si="1"/>
        <v>0</v>
      </c>
      <c r="I24" s="313"/>
      <c r="J24" s="620"/>
    </row>
    <row r="25" spans="1:10" ht="14.25">
      <c r="A25" s="96" t="s">
        <v>186</v>
      </c>
      <c r="B25" s="89" t="s">
        <v>95</v>
      </c>
      <c r="C25" s="90" t="s">
        <v>111</v>
      </c>
      <c r="D25" s="92" t="s">
        <v>76</v>
      </c>
      <c r="E25" s="313">
        <v>0</v>
      </c>
      <c r="F25" s="313">
        <v>0</v>
      </c>
      <c r="G25" s="313">
        <v>0</v>
      </c>
      <c r="H25" s="371">
        <f t="shared" si="1"/>
        <v>0</v>
      </c>
      <c r="I25" s="313"/>
      <c r="J25" s="620"/>
    </row>
    <row r="26" spans="1:10" ht="14.25">
      <c r="A26" s="96" t="s">
        <v>187</v>
      </c>
      <c r="B26" s="89" t="s">
        <v>163</v>
      </c>
      <c r="C26" s="90" t="s">
        <v>111</v>
      </c>
      <c r="D26" s="92" t="s">
        <v>138</v>
      </c>
      <c r="E26" s="367"/>
      <c r="F26" s="367"/>
      <c r="G26" s="367"/>
      <c r="H26" s="371">
        <f>_xlfn.IFERROR(_xlfn.AVERAGEIF(E26:G26,"&gt;0",E26:G26),0)</f>
        <v>0</v>
      </c>
      <c r="I26" s="313"/>
      <c r="J26" s="620"/>
    </row>
    <row r="27" spans="1:10" ht="14.25">
      <c r="A27" s="96" t="s">
        <v>188</v>
      </c>
      <c r="B27" s="89" t="s">
        <v>164</v>
      </c>
      <c r="C27" s="90" t="s">
        <v>111</v>
      </c>
      <c r="D27" s="92" t="s">
        <v>138</v>
      </c>
      <c r="E27" s="367"/>
      <c r="F27" s="367"/>
      <c r="G27" s="367"/>
      <c r="H27" s="371">
        <f>_xlfn.IFERROR(_xlfn.AVERAGEIF(E27:G27,"&gt;0",E27:G27),0)</f>
        <v>0</v>
      </c>
      <c r="I27" s="313"/>
      <c r="J27" s="620"/>
    </row>
    <row r="28" spans="1:10" ht="14.25">
      <c r="A28" s="96" t="s">
        <v>189</v>
      </c>
      <c r="B28" s="89" t="s">
        <v>650</v>
      </c>
      <c r="C28" s="90" t="s">
        <v>111</v>
      </c>
      <c r="D28" s="92" t="s">
        <v>138</v>
      </c>
      <c r="E28" s="367"/>
      <c r="F28" s="367"/>
      <c r="G28" s="367"/>
      <c r="H28" s="371">
        <f>_xlfn.IFERROR(_xlfn.AVERAGEIF(E28:G28,"&gt;0",E28:G28),0)</f>
        <v>0</v>
      </c>
      <c r="I28" s="313"/>
      <c r="J28" s="620"/>
    </row>
    <row r="29" spans="1:10" ht="14.25">
      <c r="A29" s="458"/>
      <c r="B29" s="458" t="s">
        <v>1154</v>
      </c>
      <c r="C29" s="90"/>
      <c r="D29" s="92"/>
      <c r="E29" s="783"/>
      <c r="F29" s="783"/>
      <c r="G29" s="783"/>
      <c r="H29" s="347"/>
      <c r="I29" s="46"/>
      <c r="J29" s="624"/>
    </row>
    <row r="30" spans="1:10" ht="14.25">
      <c r="A30" s="450" t="s">
        <v>7</v>
      </c>
      <c r="B30" s="330" t="s">
        <v>1609</v>
      </c>
      <c r="C30" s="329"/>
      <c r="D30" s="329"/>
      <c r="E30" s="264"/>
      <c r="F30" s="264"/>
      <c r="G30" s="264"/>
      <c r="H30" s="348"/>
      <c r="I30" s="264"/>
      <c r="J30" s="559"/>
    </row>
    <row r="31" spans="1:10" ht="14.25">
      <c r="A31" s="96" t="s">
        <v>302</v>
      </c>
      <c r="B31" s="89" t="s">
        <v>387</v>
      </c>
      <c r="C31" s="90" t="s">
        <v>111</v>
      </c>
      <c r="D31" s="90" t="s">
        <v>76</v>
      </c>
      <c r="E31" s="313">
        <v>0</v>
      </c>
      <c r="F31" s="313">
        <v>0</v>
      </c>
      <c r="G31" s="313">
        <v>0</v>
      </c>
      <c r="H31" s="371">
        <f>AVERAGEA(E31:G31)</f>
        <v>0</v>
      </c>
      <c r="I31" s="313"/>
      <c r="J31" s="620"/>
    </row>
    <row r="32" spans="1:10" ht="14.25">
      <c r="A32" s="96" t="s">
        <v>303</v>
      </c>
      <c r="B32" s="89" t="s">
        <v>277</v>
      </c>
      <c r="C32" s="90" t="s">
        <v>111</v>
      </c>
      <c r="D32" s="90" t="s">
        <v>279</v>
      </c>
      <c r="E32" s="367"/>
      <c r="F32" s="367"/>
      <c r="G32" s="367"/>
      <c r="H32" s="371">
        <f>_xlfn.IFERROR(_xlfn.AVERAGEIF(E32:G32,"&gt;0",E32:G32),0)</f>
        <v>0</v>
      </c>
      <c r="I32" s="313"/>
      <c r="J32" s="620"/>
    </row>
    <row r="33" spans="1:10" ht="14.25">
      <c r="A33" s="96" t="s">
        <v>304</v>
      </c>
      <c r="B33" s="89" t="s">
        <v>651</v>
      </c>
      <c r="C33" s="90" t="s">
        <v>111</v>
      </c>
      <c r="D33" s="90" t="s">
        <v>419</v>
      </c>
      <c r="E33" s="367"/>
      <c r="F33" s="367"/>
      <c r="G33" s="367"/>
      <c r="H33" s="371">
        <f>_xlfn.IFERROR(_xlfn.AVERAGEIF(E33:G33,"&gt;0",E33:G33),0)</f>
        <v>0</v>
      </c>
      <c r="I33" s="313"/>
      <c r="J33" s="620"/>
    </row>
    <row r="34" spans="1:10" ht="14.25">
      <c r="A34" s="96" t="s">
        <v>420</v>
      </c>
      <c r="B34" s="89" t="s">
        <v>278</v>
      </c>
      <c r="C34" s="90" t="s">
        <v>111</v>
      </c>
      <c r="D34" s="90" t="s">
        <v>518</v>
      </c>
      <c r="E34" s="313">
        <v>0</v>
      </c>
      <c r="F34" s="313">
        <v>0</v>
      </c>
      <c r="G34" s="313">
        <v>0</v>
      </c>
      <c r="H34" s="371">
        <f aca="true" t="shared" si="2" ref="H34:H41">AVERAGEA(E34:G34)</f>
        <v>0</v>
      </c>
      <c r="I34" s="313"/>
      <c r="J34" s="620"/>
    </row>
    <row r="35" spans="1:10" ht="14.25">
      <c r="A35" s="459" t="s">
        <v>522</v>
      </c>
      <c r="B35" s="460" t="s">
        <v>1240</v>
      </c>
      <c r="C35" s="461" t="s">
        <v>111</v>
      </c>
      <c r="D35" s="461" t="s">
        <v>518</v>
      </c>
      <c r="E35" s="313">
        <v>0</v>
      </c>
      <c r="F35" s="313">
        <v>0</v>
      </c>
      <c r="G35" s="313">
        <v>0</v>
      </c>
      <c r="H35" s="371">
        <f t="shared" si="2"/>
        <v>0</v>
      </c>
      <c r="I35" s="313"/>
      <c r="J35" s="620"/>
    </row>
    <row r="36" spans="1:10" ht="14.25">
      <c r="A36" s="462" t="s">
        <v>642</v>
      </c>
      <c r="B36" s="460" t="s">
        <v>1210</v>
      </c>
      <c r="C36" s="461" t="s">
        <v>111</v>
      </c>
      <c r="D36" s="461" t="s">
        <v>518</v>
      </c>
      <c r="E36" s="313">
        <v>0</v>
      </c>
      <c r="F36" s="313">
        <v>0</v>
      </c>
      <c r="G36" s="313">
        <v>0</v>
      </c>
      <c r="H36" s="371">
        <f t="shared" si="2"/>
        <v>0</v>
      </c>
      <c r="I36" s="313"/>
      <c r="J36" s="620"/>
    </row>
    <row r="37" spans="1:10" ht="14.25">
      <c r="A37" s="462" t="s">
        <v>643</v>
      </c>
      <c r="B37" s="460" t="s">
        <v>1210</v>
      </c>
      <c r="C37" s="461" t="s">
        <v>111</v>
      </c>
      <c r="D37" s="461" t="s">
        <v>706</v>
      </c>
      <c r="E37" s="313">
        <v>0</v>
      </c>
      <c r="F37" s="313">
        <v>0</v>
      </c>
      <c r="G37" s="313">
        <v>0</v>
      </c>
      <c r="H37" s="371">
        <f t="shared" si="2"/>
        <v>0</v>
      </c>
      <c r="I37" s="313"/>
      <c r="J37" s="620"/>
    </row>
    <row r="38" spans="1:10" ht="28.5">
      <c r="A38" s="459" t="s">
        <v>707</v>
      </c>
      <c r="B38" s="463" t="s">
        <v>1211</v>
      </c>
      <c r="C38" s="464" t="s">
        <v>111</v>
      </c>
      <c r="D38" s="464" t="s">
        <v>100</v>
      </c>
      <c r="E38" s="313">
        <v>0</v>
      </c>
      <c r="F38" s="313">
        <v>0</v>
      </c>
      <c r="G38" s="313">
        <v>0</v>
      </c>
      <c r="H38" s="371">
        <f t="shared" si="2"/>
        <v>0</v>
      </c>
      <c r="I38" s="313"/>
      <c r="J38" s="620"/>
    </row>
    <row r="39" spans="1:10" ht="14.25">
      <c r="A39" s="459" t="s">
        <v>768</v>
      </c>
      <c r="B39" s="463" t="s">
        <v>708</v>
      </c>
      <c r="C39" s="464" t="s">
        <v>111</v>
      </c>
      <c r="D39" s="464" t="s">
        <v>518</v>
      </c>
      <c r="E39" s="313">
        <v>0</v>
      </c>
      <c r="F39" s="313">
        <v>0</v>
      </c>
      <c r="G39" s="313">
        <v>0</v>
      </c>
      <c r="H39" s="371">
        <f t="shared" si="2"/>
        <v>0</v>
      </c>
      <c r="I39" s="313"/>
      <c r="J39" s="620"/>
    </row>
    <row r="40" spans="1:10" ht="14.25">
      <c r="A40" s="459" t="s">
        <v>780</v>
      </c>
      <c r="B40" s="463" t="s">
        <v>708</v>
      </c>
      <c r="C40" s="464" t="s">
        <v>111</v>
      </c>
      <c r="D40" s="464" t="s">
        <v>706</v>
      </c>
      <c r="E40" s="313">
        <v>0</v>
      </c>
      <c r="F40" s="313">
        <v>0</v>
      </c>
      <c r="G40" s="313">
        <v>0</v>
      </c>
      <c r="H40" s="371">
        <f t="shared" si="2"/>
        <v>0</v>
      </c>
      <c r="I40" s="313"/>
      <c r="J40" s="620"/>
    </row>
    <row r="41" spans="1:10" ht="28.5">
      <c r="A41" s="459" t="s">
        <v>781</v>
      </c>
      <c r="B41" s="463" t="s">
        <v>824</v>
      </c>
      <c r="C41" s="464" t="s">
        <v>111</v>
      </c>
      <c r="D41" s="464" t="s">
        <v>100</v>
      </c>
      <c r="E41" s="313">
        <v>0</v>
      </c>
      <c r="F41" s="313">
        <v>0</v>
      </c>
      <c r="G41" s="313">
        <v>0</v>
      </c>
      <c r="H41" s="371">
        <f t="shared" si="2"/>
        <v>0</v>
      </c>
      <c r="I41" s="313"/>
      <c r="J41" s="620"/>
    </row>
    <row r="42" spans="1:10" ht="15" thickBot="1">
      <c r="A42" s="465" t="s">
        <v>803</v>
      </c>
      <c r="B42" s="466" t="s">
        <v>825</v>
      </c>
      <c r="C42" s="467" t="s">
        <v>111</v>
      </c>
      <c r="D42" s="467" t="s">
        <v>706</v>
      </c>
      <c r="E42" s="334">
        <v>0</v>
      </c>
      <c r="F42" s="334">
        <v>0</v>
      </c>
      <c r="G42" s="334">
        <v>0</v>
      </c>
      <c r="H42" s="449">
        <f>AVERAGEA(E42:G42)</f>
        <v>0</v>
      </c>
      <c r="I42" s="334"/>
      <c r="J42" s="671"/>
    </row>
    <row r="43" spans="1:10" ht="14.25">
      <c r="A43" s="113" t="s">
        <v>305</v>
      </c>
      <c r="B43" s="455" t="s">
        <v>388</v>
      </c>
      <c r="C43" s="456" t="s">
        <v>111</v>
      </c>
      <c r="D43" s="456" t="s">
        <v>76</v>
      </c>
      <c r="E43" s="313">
        <v>0</v>
      </c>
      <c r="F43" s="313">
        <v>0</v>
      </c>
      <c r="G43" s="313">
        <v>0</v>
      </c>
      <c r="H43" s="371">
        <f>AVERAGEA(E43:G43)</f>
        <v>0</v>
      </c>
      <c r="I43" s="313"/>
      <c r="J43" s="620"/>
    </row>
    <row r="44" spans="1:10" ht="14.25">
      <c r="A44" s="96" t="s">
        <v>306</v>
      </c>
      <c r="B44" s="89" t="s">
        <v>280</v>
      </c>
      <c r="C44" s="90" t="s">
        <v>111</v>
      </c>
      <c r="D44" s="90" t="s">
        <v>279</v>
      </c>
      <c r="E44" s="367"/>
      <c r="F44" s="367"/>
      <c r="G44" s="367"/>
      <c r="H44" s="371">
        <f>_xlfn.IFERROR(_xlfn.AVERAGEIF(E44:G44,"&gt;0",E44:G44),0)</f>
        <v>0</v>
      </c>
      <c r="I44" s="313"/>
      <c r="J44" s="620"/>
    </row>
    <row r="45" spans="1:10" ht="14.25">
      <c r="A45" s="96" t="s">
        <v>523</v>
      </c>
      <c r="B45" s="89" t="s">
        <v>652</v>
      </c>
      <c r="C45" s="90" t="s">
        <v>111</v>
      </c>
      <c r="D45" s="90" t="s">
        <v>419</v>
      </c>
      <c r="E45" s="367"/>
      <c r="F45" s="367"/>
      <c r="G45" s="367"/>
      <c r="H45" s="371">
        <f>_xlfn.IFERROR(_xlfn.AVERAGEIF(E45:G45,"&gt;0",E45:G45),0)</f>
        <v>0</v>
      </c>
      <c r="I45" s="313"/>
      <c r="J45" s="620"/>
    </row>
    <row r="46" spans="1:10" ht="14.25">
      <c r="A46" s="468" t="s">
        <v>524</v>
      </c>
      <c r="B46" s="463" t="s">
        <v>281</v>
      </c>
      <c r="C46" s="464" t="s">
        <v>111</v>
      </c>
      <c r="D46" s="90" t="s">
        <v>518</v>
      </c>
      <c r="E46" s="313">
        <v>0</v>
      </c>
      <c r="F46" s="313">
        <v>0</v>
      </c>
      <c r="G46" s="313">
        <v>0</v>
      </c>
      <c r="H46" s="371">
        <f aca="true" t="shared" si="3" ref="H46:H53">AVERAGEA(E46:G46)</f>
        <v>0</v>
      </c>
      <c r="I46" s="313"/>
      <c r="J46" s="620"/>
    </row>
    <row r="47" spans="1:10" ht="14.25">
      <c r="A47" s="459" t="s">
        <v>534</v>
      </c>
      <c r="B47" s="460" t="s">
        <v>1241</v>
      </c>
      <c r="C47" s="461" t="s">
        <v>111</v>
      </c>
      <c r="D47" s="461" t="s">
        <v>518</v>
      </c>
      <c r="E47" s="313">
        <v>0</v>
      </c>
      <c r="F47" s="313">
        <v>1</v>
      </c>
      <c r="G47" s="313">
        <v>1</v>
      </c>
      <c r="H47" s="371">
        <f t="shared" si="3"/>
        <v>0.6666666666666666</v>
      </c>
      <c r="I47" s="313"/>
      <c r="J47" s="620"/>
    </row>
    <row r="48" spans="1:10" ht="14.25">
      <c r="A48" s="462" t="s">
        <v>644</v>
      </c>
      <c r="B48" s="460" t="s">
        <v>783</v>
      </c>
      <c r="C48" s="461" t="s">
        <v>111</v>
      </c>
      <c r="D48" s="461" t="s">
        <v>518</v>
      </c>
      <c r="E48" s="313">
        <v>0</v>
      </c>
      <c r="F48" s="313">
        <v>0</v>
      </c>
      <c r="G48" s="313">
        <v>0</v>
      </c>
      <c r="H48" s="371">
        <f t="shared" si="3"/>
        <v>0</v>
      </c>
      <c r="I48" s="313"/>
      <c r="J48" s="620"/>
    </row>
    <row r="49" spans="1:10" ht="14.25">
      <c r="A49" s="462" t="s">
        <v>645</v>
      </c>
      <c r="B49" s="460" t="s">
        <v>783</v>
      </c>
      <c r="C49" s="461" t="s">
        <v>111</v>
      </c>
      <c r="D49" s="461" t="s">
        <v>706</v>
      </c>
      <c r="E49" s="313">
        <v>0</v>
      </c>
      <c r="F49" s="313">
        <v>0</v>
      </c>
      <c r="G49" s="313">
        <v>0</v>
      </c>
      <c r="H49" s="371">
        <f t="shared" si="3"/>
        <v>0</v>
      </c>
      <c r="I49" s="313"/>
      <c r="J49" s="620"/>
    </row>
    <row r="50" spans="1:10" ht="28.5">
      <c r="A50" s="459" t="s">
        <v>709</v>
      </c>
      <c r="B50" s="463" t="s">
        <v>823</v>
      </c>
      <c r="C50" s="464" t="s">
        <v>111</v>
      </c>
      <c r="D50" s="464" t="s">
        <v>100</v>
      </c>
      <c r="E50" s="313">
        <v>0</v>
      </c>
      <c r="F50" s="313">
        <v>0</v>
      </c>
      <c r="G50" s="313">
        <v>0</v>
      </c>
      <c r="H50" s="371">
        <f t="shared" si="3"/>
        <v>0</v>
      </c>
      <c r="I50" s="313"/>
      <c r="J50" s="620"/>
    </row>
    <row r="51" spans="1:10" ht="14.25">
      <c r="A51" s="459" t="s">
        <v>804</v>
      </c>
      <c r="B51" s="463" t="s">
        <v>784</v>
      </c>
      <c r="C51" s="464" t="s">
        <v>111</v>
      </c>
      <c r="D51" s="464" t="s">
        <v>518</v>
      </c>
      <c r="E51" s="313">
        <v>0</v>
      </c>
      <c r="F51" s="313">
        <v>0</v>
      </c>
      <c r="G51" s="313">
        <v>0</v>
      </c>
      <c r="H51" s="371">
        <f t="shared" si="3"/>
        <v>0</v>
      </c>
      <c r="I51" s="313"/>
      <c r="J51" s="620"/>
    </row>
    <row r="52" spans="1:10" ht="14.25">
      <c r="A52" s="459" t="s">
        <v>805</v>
      </c>
      <c r="B52" s="463" t="s">
        <v>784</v>
      </c>
      <c r="C52" s="464" t="s">
        <v>111</v>
      </c>
      <c r="D52" s="464" t="s">
        <v>706</v>
      </c>
      <c r="E52" s="313">
        <v>0</v>
      </c>
      <c r="F52" s="313">
        <v>0</v>
      </c>
      <c r="G52" s="313">
        <v>0</v>
      </c>
      <c r="H52" s="371">
        <f t="shared" si="3"/>
        <v>0</v>
      </c>
      <c r="I52" s="313"/>
      <c r="J52" s="620"/>
    </row>
    <row r="53" spans="1:10" ht="28.5">
      <c r="A53" s="459" t="s">
        <v>806</v>
      </c>
      <c r="B53" s="463" t="s">
        <v>816</v>
      </c>
      <c r="C53" s="464" t="s">
        <v>111</v>
      </c>
      <c r="D53" s="464" t="s">
        <v>100</v>
      </c>
      <c r="E53" s="313">
        <v>0</v>
      </c>
      <c r="F53" s="313">
        <v>0</v>
      </c>
      <c r="G53" s="313">
        <v>0</v>
      </c>
      <c r="H53" s="371">
        <f t="shared" si="3"/>
        <v>0</v>
      </c>
      <c r="I53" s="313"/>
      <c r="J53" s="620"/>
    </row>
    <row r="54" spans="1:10" ht="15" thickBot="1">
      <c r="A54" s="465" t="s">
        <v>1212</v>
      </c>
      <c r="B54" s="466" t="s">
        <v>826</v>
      </c>
      <c r="C54" s="467" t="s">
        <v>111</v>
      </c>
      <c r="D54" s="467" t="s">
        <v>706</v>
      </c>
      <c r="E54" s="334">
        <v>0</v>
      </c>
      <c r="F54" s="334">
        <v>0</v>
      </c>
      <c r="G54" s="334">
        <v>0</v>
      </c>
      <c r="H54" s="449">
        <f>AVERAGEA(E54:G54)</f>
        <v>0</v>
      </c>
      <c r="I54" s="334"/>
      <c r="J54" s="671"/>
    </row>
    <row r="55" spans="1:10" ht="14.25">
      <c r="A55" s="468" t="s">
        <v>307</v>
      </c>
      <c r="B55" s="463" t="s">
        <v>389</v>
      </c>
      <c r="C55" s="464" t="s">
        <v>111</v>
      </c>
      <c r="D55" s="464" t="s">
        <v>76</v>
      </c>
      <c r="E55" s="313">
        <v>0</v>
      </c>
      <c r="F55" s="313">
        <v>0</v>
      </c>
      <c r="G55" s="313">
        <v>0</v>
      </c>
      <c r="H55" s="371">
        <f>AVERAGEA(E55:G55)</f>
        <v>0</v>
      </c>
      <c r="I55" s="313"/>
      <c r="J55" s="620"/>
    </row>
    <row r="56" spans="1:10" ht="14.25">
      <c r="A56" s="468" t="s">
        <v>308</v>
      </c>
      <c r="B56" s="463" t="s">
        <v>282</v>
      </c>
      <c r="C56" s="464" t="s">
        <v>111</v>
      </c>
      <c r="D56" s="464" t="s">
        <v>279</v>
      </c>
      <c r="E56" s="367"/>
      <c r="F56" s="367"/>
      <c r="G56" s="367"/>
      <c r="H56" s="371">
        <f>_xlfn.IFERROR(_xlfn.AVERAGEIF(E56:G56,"&gt;0",E56:G56),0)</f>
        <v>0</v>
      </c>
      <c r="I56" s="313"/>
      <c r="J56" s="620"/>
    </row>
    <row r="57" spans="1:10" ht="14.25">
      <c r="A57" s="468" t="s">
        <v>527</v>
      </c>
      <c r="B57" s="463" t="s">
        <v>653</v>
      </c>
      <c r="C57" s="464" t="s">
        <v>111</v>
      </c>
      <c r="D57" s="464" t="s">
        <v>419</v>
      </c>
      <c r="E57" s="367"/>
      <c r="F57" s="367"/>
      <c r="G57" s="367"/>
      <c r="H57" s="371">
        <f>_xlfn.IFERROR(_xlfn.AVERAGEIF(E57:G57,"&gt;0",E57:G57),0)</f>
        <v>0</v>
      </c>
      <c r="I57" s="313"/>
      <c r="J57" s="620"/>
    </row>
    <row r="58" spans="1:10" ht="14.25">
      <c r="A58" s="468" t="s">
        <v>526</v>
      </c>
      <c r="B58" s="463" t="s">
        <v>283</v>
      </c>
      <c r="C58" s="464" t="s">
        <v>111</v>
      </c>
      <c r="D58" s="90" t="s">
        <v>518</v>
      </c>
      <c r="E58" s="313">
        <v>0</v>
      </c>
      <c r="F58" s="313">
        <v>0</v>
      </c>
      <c r="G58" s="313">
        <v>0</v>
      </c>
      <c r="H58" s="371">
        <f aca="true" t="shared" si="4" ref="H58:H65">AVERAGEA(E58:G58)</f>
        <v>0</v>
      </c>
      <c r="I58" s="313"/>
      <c r="J58" s="620"/>
    </row>
    <row r="59" spans="1:10" ht="14.25">
      <c r="A59" s="459" t="s">
        <v>525</v>
      </c>
      <c r="B59" s="460" t="s">
        <v>1242</v>
      </c>
      <c r="C59" s="461" t="s">
        <v>111</v>
      </c>
      <c r="D59" s="461" t="s">
        <v>518</v>
      </c>
      <c r="E59" s="313">
        <v>0</v>
      </c>
      <c r="F59" s="313">
        <v>0</v>
      </c>
      <c r="G59" s="313">
        <v>0</v>
      </c>
      <c r="H59" s="371">
        <f t="shared" si="4"/>
        <v>0</v>
      </c>
      <c r="I59" s="313"/>
      <c r="J59" s="620"/>
    </row>
    <row r="60" spans="1:10" ht="14.25">
      <c r="A60" s="462" t="s">
        <v>640</v>
      </c>
      <c r="B60" s="460" t="s">
        <v>785</v>
      </c>
      <c r="C60" s="461" t="s">
        <v>111</v>
      </c>
      <c r="D60" s="461" t="s">
        <v>518</v>
      </c>
      <c r="E60" s="313">
        <v>0</v>
      </c>
      <c r="F60" s="313">
        <v>0</v>
      </c>
      <c r="G60" s="313">
        <v>0</v>
      </c>
      <c r="H60" s="371">
        <f t="shared" si="4"/>
        <v>0</v>
      </c>
      <c r="I60" s="313"/>
      <c r="J60" s="620"/>
    </row>
    <row r="61" spans="1:10" ht="14.25">
      <c r="A61" s="462" t="s">
        <v>641</v>
      </c>
      <c r="B61" s="460" t="s">
        <v>785</v>
      </c>
      <c r="C61" s="461" t="s">
        <v>111</v>
      </c>
      <c r="D61" s="461" t="s">
        <v>706</v>
      </c>
      <c r="E61" s="313">
        <v>0</v>
      </c>
      <c r="F61" s="313">
        <v>0</v>
      </c>
      <c r="G61" s="313">
        <v>0</v>
      </c>
      <c r="H61" s="371">
        <f t="shared" si="4"/>
        <v>0</v>
      </c>
      <c r="I61" s="313"/>
      <c r="J61" s="620"/>
    </row>
    <row r="62" spans="1:10" ht="28.5">
      <c r="A62" s="459" t="s">
        <v>710</v>
      </c>
      <c r="B62" s="463" t="s">
        <v>815</v>
      </c>
      <c r="C62" s="464" t="s">
        <v>111</v>
      </c>
      <c r="D62" s="464" t="s">
        <v>100</v>
      </c>
      <c r="E62" s="313">
        <v>0</v>
      </c>
      <c r="F62" s="313">
        <v>0</v>
      </c>
      <c r="G62" s="313">
        <v>0</v>
      </c>
      <c r="H62" s="371">
        <f t="shared" si="4"/>
        <v>0</v>
      </c>
      <c r="I62" s="313"/>
      <c r="J62" s="620"/>
    </row>
    <row r="63" spans="1:10" ht="14.25">
      <c r="A63" s="459" t="s">
        <v>807</v>
      </c>
      <c r="B63" s="463" t="s">
        <v>786</v>
      </c>
      <c r="C63" s="464" t="s">
        <v>111</v>
      </c>
      <c r="D63" s="464" t="s">
        <v>518</v>
      </c>
      <c r="E63" s="313">
        <v>0</v>
      </c>
      <c r="F63" s="313">
        <v>0</v>
      </c>
      <c r="G63" s="313">
        <v>0</v>
      </c>
      <c r="H63" s="371">
        <f t="shared" si="4"/>
        <v>0</v>
      </c>
      <c r="I63" s="313"/>
      <c r="J63" s="620"/>
    </row>
    <row r="64" spans="1:10" ht="14.25">
      <c r="A64" s="459" t="s">
        <v>808</v>
      </c>
      <c r="B64" s="463" t="s">
        <v>786</v>
      </c>
      <c r="C64" s="464" t="s">
        <v>111</v>
      </c>
      <c r="D64" s="464" t="s">
        <v>706</v>
      </c>
      <c r="E64" s="313">
        <v>0</v>
      </c>
      <c r="F64" s="313">
        <v>0</v>
      </c>
      <c r="G64" s="313">
        <v>0</v>
      </c>
      <c r="H64" s="371">
        <f t="shared" si="4"/>
        <v>0</v>
      </c>
      <c r="I64" s="313"/>
      <c r="J64" s="620"/>
    </row>
    <row r="65" spans="1:10" ht="28.5">
      <c r="A65" s="459" t="s">
        <v>809</v>
      </c>
      <c r="B65" s="463" t="s">
        <v>814</v>
      </c>
      <c r="C65" s="464" t="s">
        <v>111</v>
      </c>
      <c r="D65" s="464" t="s">
        <v>100</v>
      </c>
      <c r="E65" s="313">
        <v>0</v>
      </c>
      <c r="F65" s="313">
        <v>0</v>
      </c>
      <c r="G65" s="313">
        <v>0</v>
      </c>
      <c r="H65" s="371">
        <f t="shared" si="4"/>
        <v>0</v>
      </c>
      <c r="I65" s="313"/>
      <c r="J65" s="620"/>
    </row>
    <row r="66" spans="1:10" ht="15" thickBot="1">
      <c r="A66" s="465" t="s">
        <v>1213</v>
      </c>
      <c r="B66" s="466" t="s">
        <v>827</v>
      </c>
      <c r="C66" s="467" t="s">
        <v>111</v>
      </c>
      <c r="D66" s="467" t="s">
        <v>706</v>
      </c>
      <c r="E66" s="334">
        <v>0</v>
      </c>
      <c r="F66" s="334">
        <v>0</v>
      </c>
      <c r="G66" s="334">
        <v>0</v>
      </c>
      <c r="H66" s="449">
        <f>AVERAGEA(E66:G66)</f>
        <v>0</v>
      </c>
      <c r="I66" s="334"/>
      <c r="J66" s="671"/>
    </row>
    <row r="67" spans="1:10" ht="14.25">
      <c r="A67" s="96" t="s">
        <v>309</v>
      </c>
      <c r="B67" s="89" t="s">
        <v>390</v>
      </c>
      <c r="C67" s="90" t="s">
        <v>111</v>
      </c>
      <c r="D67" s="90" t="s">
        <v>76</v>
      </c>
      <c r="E67" s="313">
        <v>0</v>
      </c>
      <c r="F67" s="313">
        <v>0</v>
      </c>
      <c r="G67" s="313">
        <v>0</v>
      </c>
      <c r="H67" s="371">
        <f>AVERAGEA(E67:G67)</f>
        <v>0</v>
      </c>
      <c r="I67" s="313"/>
      <c r="J67" s="620"/>
    </row>
    <row r="68" spans="1:10" ht="14.25">
      <c r="A68" s="96" t="s">
        <v>310</v>
      </c>
      <c r="B68" s="89" t="s">
        <v>284</v>
      </c>
      <c r="C68" s="90" t="s">
        <v>111</v>
      </c>
      <c r="D68" s="90" t="s">
        <v>279</v>
      </c>
      <c r="E68" s="367"/>
      <c r="F68" s="367"/>
      <c r="G68" s="367"/>
      <c r="H68" s="371">
        <f>_xlfn.IFERROR(_xlfn.AVERAGEIF(E68:G68,"&gt;0",E68:G68),0)</f>
        <v>0</v>
      </c>
      <c r="I68" s="313"/>
      <c r="J68" s="620"/>
    </row>
    <row r="69" spans="1:10" ht="14.25">
      <c r="A69" s="468" t="s">
        <v>528</v>
      </c>
      <c r="B69" s="463" t="s">
        <v>654</v>
      </c>
      <c r="C69" s="464" t="s">
        <v>111</v>
      </c>
      <c r="D69" s="464" t="s">
        <v>419</v>
      </c>
      <c r="E69" s="367"/>
      <c r="F69" s="367"/>
      <c r="G69" s="367"/>
      <c r="H69" s="371">
        <f>_xlfn.IFERROR(_xlfn.AVERAGEIF(E69:G69,"&gt;0",E69:G69),0)</f>
        <v>0</v>
      </c>
      <c r="I69" s="313"/>
      <c r="J69" s="620"/>
    </row>
    <row r="70" spans="1:10" ht="14.25">
      <c r="A70" s="468" t="s">
        <v>529</v>
      </c>
      <c r="B70" s="463" t="s">
        <v>285</v>
      </c>
      <c r="C70" s="464" t="s">
        <v>111</v>
      </c>
      <c r="D70" s="90" t="s">
        <v>518</v>
      </c>
      <c r="E70" s="313">
        <v>0</v>
      </c>
      <c r="F70" s="313">
        <v>0</v>
      </c>
      <c r="G70" s="313">
        <v>0</v>
      </c>
      <c r="H70" s="371">
        <f aca="true" t="shared" si="5" ref="H70:H77">AVERAGEA(E70:G70)</f>
        <v>0</v>
      </c>
      <c r="I70" s="313"/>
      <c r="J70" s="620"/>
    </row>
    <row r="71" spans="1:10" ht="14.25">
      <c r="A71" s="459" t="s">
        <v>530</v>
      </c>
      <c r="B71" s="460" t="s">
        <v>1243</v>
      </c>
      <c r="C71" s="461" t="s">
        <v>111</v>
      </c>
      <c r="D71" s="461" t="s">
        <v>518</v>
      </c>
      <c r="E71" s="313">
        <v>0</v>
      </c>
      <c r="F71" s="313">
        <v>0</v>
      </c>
      <c r="G71" s="313">
        <v>0</v>
      </c>
      <c r="H71" s="371">
        <f t="shared" si="5"/>
        <v>0</v>
      </c>
      <c r="I71" s="313"/>
      <c r="J71" s="620"/>
    </row>
    <row r="72" spans="1:10" ht="14.25">
      <c r="A72" s="462" t="s">
        <v>646</v>
      </c>
      <c r="B72" s="460" t="s">
        <v>787</v>
      </c>
      <c r="C72" s="461" t="s">
        <v>111</v>
      </c>
      <c r="D72" s="461" t="s">
        <v>518</v>
      </c>
      <c r="E72" s="313">
        <v>0</v>
      </c>
      <c r="F72" s="313">
        <v>0</v>
      </c>
      <c r="G72" s="313">
        <v>0</v>
      </c>
      <c r="H72" s="371">
        <f t="shared" si="5"/>
        <v>0</v>
      </c>
      <c r="I72" s="313"/>
      <c r="J72" s="620"/>
    </row>
    <row r="73" spans="1:10" ht="14.25">
      <c r="A73" s="462" t="s">
        <v>647</v>
      </c>
      <c r="B73" s="460" t="s">
        <v>787</v>
      </c>
      <c r="C73" s="461" t="s">
        <v>111</v>
      </c>
      <c r="D73" s="461" t="s">
        <v>706</v>
      </c>
      <c r="E73" s="313">
        <v>0</v>
      </c>
      <c r="F73" s="313">
        <v>0</v>
      </c>
      <c r="G73" s="313">
        <v>0</v>
      </c>
      <c r="H73" s="371">
        <f t="shared" si="5"/>
        <v>0</v>
      </c>
      <c r="I73" s="313"/>
      <c r="J73" s="620"/>
    </row>
    <row r="74" spans="1:10" ht="28.5">
      <c r="A74" s="459" t="s">
        <v>711</v>
      </c>
      <c r="B74" s="463" t="s">
        <v>817</v>
      </c>
      <c r="C74" s="464" t="s">
        <v>111</v>
      </c>
      <c r="D74" s="464" t="s">
        <v>100</v>
      </c>
      <c r="E74" s="313">
        <v>0</v>
      </c>
      <c r="F74" s="313">
        <v>0</v>
      </c>
      <c r="G74" s="313">
        <v>0</v>
      </c>
      <c r="H74" s="371">
        <f t="shared" si="5"/>
        <v>0</v>
      </c>
      <c r="I74" s="313"/>
      <c r="J74" s="620"/>
    </row>
    <row r="75" spans="1:10" ht="14.25">
      <c r="A75" s="459" t="s">
        <v>810</v>
      </c>
      <c r="B75" s="463" t="s">
        <v>788</v>
      </c>
      <c r="C75" s="464" t="s">
        <v>111</v>
      </c>
      <c r="D75" s="464" t="s">
        <v>518</v>
      </c>
      <c r="E75" s="313">
        <v>0</v>
      </c>
      <c r="F75" s="313">
        <v>0</v>
      </c>
      <c r="G75" s="313">
        <v>0</v>
      </c>
      <c r="H75" s="371">
        <f t="shared" si="5"/>
        <v>0</v>
      </c>
      <c r="I75" s="313"/>
      <c r="J75" s="620"/>
    </row>
    <row r="76" spans="1:10" ht="14.25">
      <c r="A76" s="459" t="s">
        <v>811</v>
      </c>
      <c r="B76" s="463" t="s">
        <v>788</v>
      </c>
      <c r="C76" s="464" t="s">
        <v>111</v>
      </c>
      <c r="D76" s="464" t="s">
        <v>706</v>
      </c>
      <c r="E76" s="313">
        <v>0</v>
      </c>
      <c r="F76" s="313">
        <v>0</v>
      </c>
      <c r="G76" s="313">
        <v>0</v>
      </c>
      <c r="H76" s="371">
        <f t="shared" si="5"/>
        <v>0</v>
      </c>
      <c r="I76" s="313"/>
      <c r="J76" s="620"/>
    </row>
    <row r="77" spans="1:10" ht="28.5">
      <c r="A77" s="459" t="s">
        <v>812</v>
      </c>
      <c r="B77" s="463" t="s">
        <v>813</v>
      </c>
      <c r="C77" s="464" t="s">
        <v>111</v>
      </c>
      <c r="D77" s="464" t="s">
        <v>100</v>
      </c>
      <c r="E77" s="313">
        <v>0</v>
      </c>
      <c r="F77" s="313">
        <v>0</v>
      </c>
      <c r="G77" s="313">
        <v>0</v>
      </c>
      <c r="H77" s="371">
        <f t="shared" si="5"/>
        <v>0</v>
      </c>
      <c r="I77" s="313"/>
      <c r="J77" s="620"/>
    </row>
    <row r="78" spans="1:10" ht="15" thickBot="1">
      <c r="A78" s="465" t="s">
        <v>1214</v>
      </c>
      <c r="B78" s="466" t="s">
        <v>828</v>
      </c>
      <c r="C78" s="467" t="s">
        <v>111</v>
      </c>
      <c r="D78" s="467" t="s">
        <v>706</v>
      </c>
      <c r="E78" s="334">
        <v>0</v>
      </c>
      <c r="F78" s="334">
        <v>0</v>
      </c>
      <c r="G78" s="334">
        <v>0</v>
      </c>
      <c r="H78" s="449">
        <f>AVERAGEA(E78:G78)</f>
        <v>0</v>
      </c>
      <c r="I78" s="334"/>
      <c r="J78" s="671"/>
    </row>
    <row r="79" spans="1:10" ht="14.25">
      <c r="A79" s="468" t="s">
        <v>311</v>
      </c>
      <c r="B79" s="463" t="s">
        <v>391</v>
      </c>
      <c r="C79" s="464" t="s">
        <v>111</v>
      </c>
      <c r="D79" s="464" t="s">
        <v>76</v>
      </c>
      <c r="E79" s="313">
        <v>0</v>
      </c>
      <c r="F79" s="313">
        <v>0</v>
      </c>
      <c r="G79" s="313">
        <v>0</v>
      </c>
      <c r="H79" s="371">
        <f>AVERAGEA(E79:G79)</f>
        <v>0</v>
      </c>
      <c r="I79" s="313"/>
      <c r="J79" s="620"/>
    </row>
    <row r="80" spans="1:10" ht="14.25">
      <c r="A80" s="468" t="s">
        <v>312</v>
      </c>
      <c r="B80" s="463" t="s">
        <v>286</v>
      </c>
      <c r="C80" s="464" t="s">
        <v>111</v>
      </c>
      <c r="D80" s="464" t="s">
        <v>279</v>
      </c>
      <c r="E80" s="367"/>
      <c r="F80" s="367"/>
      <c r="G80" s="367"/>
      <c r="H80" s="371">
        <f>_xlfn.IFERROR(_xlfn.AVERAGEIF(E80:G80,"&gt;0",E80:G80),0)</f>
        <v>0</v>
      </c>
      <c r="I80" s="313"/>
      <c r="J80" s="620"/>
    </row>
    <row r="81" spans="1:10" ht="14.25">
      <c r="A81" s="468" t="s">
        <v>531</v>
      </c>
      <c r="B81" s="463" t="s">
        <v>655</v>
      </c>
      <c r="C81" s="464" t="s">
        <v>111</v>
      </c>
      <c r="D81" s="464" t="s">
        <v>419</v>
      </c>
      <c r="E81" s="367"/>
      <c r="F81" s="367"/>
      <c r="G81" s="367"/>
      <c r="H81" s="371">
        <f>_xlfn.IFERROR(_xlfn.AVERAGEIF(E81:G81,"&gt;0",E81:G81),0)</f>
        <v>0</v>
      </c>
      <c r="I81" s="313"/>
      <c r="J81" s="620"/>
    </row>
    <row r="82" spans="1:10" ht="14.25">
      <c r="A82" s="468" t="s">
        <v>532</v>
      </c>
      <c r="B82" s="463" t="s">
        <v>287</v>
      </c>
      <c r="C82" s="464" t="s">
        <v>111</v>
      </c>
      <c r="D82" s="90" t="s">
        <v>518</v>
      </c>
      <c r="E82" s="313">
        <v>0</v>
      </c>
      <c r="F82" s="313">
        <v>0</v>
      </c>
      <c r="G82" s="313">
        <v>0</v>
      </c>
      <c r="H82" s="371">
        <f aca="true" t="shared" si="6" ref="H82:H89">AVERAGEA(E82:G82)</f>
        <v>0</v>
      </c>
      <c r="I82" s="313"/>
      <c r="J82" s="620"/>
    </row>
    <row r="83" spans="1:10" ht="14.25">
      <c r="A83" s="459" t="s">
        <v>533</v>
      </c>
      <c r="B83" s="460" t="s">
        <v>1244</v>
      </c>
      <c r="C83" s="461" t="s">
        <v>111</v>
      </c>
      <c r="D83" s="461" t="s">
        <v>518</v>
      </c>
      <c r="E83" s="313">
        <v>0</v>
      </c>
      <c r="F83" s="313">
        <v>0</v>
      </c>
      <c r="G83" s="313">
        <v>0</v>
      </c>
      <c r="H83" s="371">
        <f t="shared" si="6"/>
        <v>0</v>
      </c>
      <c r="I83" s="313"/>
      <c r="J83" s="620"/>
    </row>
    <row r="84" spans="1:10" ht="14.25">
      <c r="A84" s="462" t="s">
        <v>648</v>
      </c>
      <c r="B84" s="460" t="s">
        <v>789</v>
      </c>
      <c r="C84" s="461" t="s">
        <v>111</v>
      </c>
      <c r="D84" s="461" t="s">
        <v>518</v>
      </c>
      <c r="E84" s="313">
        <v>0</v>
      </c>
      <c r="F84" s="313">
        <v>0</v>
      </c>
      <c r="G84" s="313">
        <v>0</v>
      </c>
      <c r="H84" s="371">
        <f t="shared" si="6"/>
        <v>0</v>
      </c>
      <c r="I84" s="313"/>
      <c r="J84" s="620"/>
    </row>
    <row r="85" spans="1:10" ht="14.25">
      <c r="A85" s="462" t="s">
        <v>649</v>
      </c>
      <c r="B85" s="460" t="s">
        <v>789</v>
      </c>
      <c r="C85" s="461" t="s">
        <v>111</v>
      </c>
      <c r="D85" s="461" t="s">
        <v>706</v>
      </c>
      <c r="E85" s="313">
        <v>0</v>
      </c>
      <c r="F85" s="313">
        <v>0</v>
      </c>
      <c r="G85" s="313">
        <v>0</v>
      </c>
      <c r="H85" s="371">
        <f t="shared" si="6"/>
        <v>0</v>
      </c>
      <c r="I85" s="313"/>
      <c r="J85" s="620"/>
    </row>
    <row r="86" spans="1:10" ht="28.5">
      <c r="A86" s="462" t="s">
        <v>713</v>
      </c>
      <c r="B86" s="460" t="s">
        <v>822</v>
      </c>
      <c r="C86" s="461" t="s">
        <v>111</v>
      </c>
      <c r="D86" s="461" t="s">
        <v>100</v>
      </c>
      <c r="E86" s="313">
        <v>0</v>
      </c>
      <c r="F86" s="313">
        <v>0</v>
      </c>
      <c r="G86" s="313">
        <v>0</v>
      </c>
      <c r="H86" s="371">
        <f t="shared" si="6"/>
        <v>0</v>
      </c>
      <c r="I86" s="313"/>
      <c r="J86" s="620"/>
    </row>
    <row r="87" spans="1:10" ht="14.25">
      <c r="A87" s="462" t="s">
        <v>819</v>
      </c>
      <c r="B87" s="460" t="s">
        <v>790</v>
      </c>
      <c r="C87" s="461" t="s">
        <v>111</v>
      </c>
      <c r="D87" s="461" t="s">
        <v>518</v>
      </c>
      <c r="E87" s="313">
        <v>0</v>
      </c>
      <c r="F87" s="313">
        <v>0</v>
      </c>
      <c r="G87" s="313">
        <v>0</v>
      </c>
      <c r="H87" s="371">
        <f t="shared" si="6"/>
        <v>0</v>
      </c>
      <c r="I87" s="313"/>
      <c r="J87" s="620"/>
    </row>
    <row r="88" spans="1:10" ht="14.25">
      <c r="A88" s="459" t="s">
        <v>820</v>
      </c>
      <c r="B88" s="463" t="s">
        <v>790</v>
      </c>
      <c r="C88" s="464" t="s">
        <v>111</v>
      </c>
      <c r="D88" s="464" t="s">
        <v>706</v>
      </c>
      <c r="E88" s="313">
        <v>0</v>
      </c>
      <c r="F88" s="313">
        <v>0</v>
      </c>
      <c r="G88" s="313">
        <v>0</v>
      </c>
      <c r="H88" s="371">
        <f t="shared" si="6"/>
        <v>0</v>
      </c>
      <c r="I88" s="313"/>
      <c r="J88" s="620"/>
    </row>
    <row r="89" spans="1:10" ht="28.5">
      <c r="A89" s="459" t="s">
        <v>821</v>
      </c>
      <c r="B89" s="463" t="s">
        <v>818</v>
      </c>
      <c r="C89" s="464" t="s">
        <v>111</v>
      </c>
      <c r="D89" s="464" t="s">
        <v>100</v>
      </c>
      <c r="E89" s="313">
        <v>0</v>
      </c>
      <c r="F89" s="313">
        <v>0</v>
      </c>
      <c r="G89" s="313">
        <v>0</v>
      </c>
      <c r="H89" s="371">
        <f t="shared" si="6"/>
        <v>0</v>
      </c>
      <c r="I89" s="313"/>
      <c r="J89" s="620"/>
    </row>
    <row r="90" spans="1:10" ht="15" thickBot="1">
      <c r="A90" s="465" t="s">
        <v>1215</v>
      </c>
      <c r="B90" s="466" t="s">
        <v>1646</v>
      </c>
      <c r="C90" s="467" t="s">
        <v>111</v>
      </c>
      <c r="D90" s="467" t="s">
        <v>706</v>
      </c>
      <c r="E90" s="334">
        <v>0</v>
      </c>
      <c r="F90" s="334">
        <v>0</v>
      </c>
      <c r="G90" s="334">
        <v>0</v>
      </c>
      <c r="H90" s="449">
        <f>AVERAGEA(E90:G90)</f>
        <v>0</v>
      </c>
      <c r="I90" s="334"/>
      <c r="J90" s="671"/>
    </row>
    <row r="91" spans="1:10" ht="14.25">
      <c r="A91" s="699"/>
      <c r="B91" s="700"/>
      <c r="C91" s="701"/>
      <c r="D91" s="701"/>
      <c r="E91" s="678"/>
      <c r="F91" s="678"/>
      <c r="G91" s="678"/>
      <c r="H91" s="702"/>
      <c r="I91" s="678"/>
      <c r="J91" s="621"/>
    </row>
    <row r="92" spans="1:10" ht="14.25">
      <c r="A92" s="468" t="s">
        <v>1278</v>
      </c>
      <c r="B92" s="698" t="s">
        <v>1279</v>
      </c>
      <c r="C92" s="319"/>
      <c r="D92" s="319"/>
      <c r="E92" s="309"/>
      <c r="F92" s="309"/>
      <c r="G92" s="309"/>
      <c r="H92" s="349"/>
      <c r="I92" s="310"/>
      <c r="J92" s="625"/>
    </row>
    <row r="93" spans="1:10" ht="14.25">
      <c r="A93" s="450" t="s">
        <v>35</v>
      </c>
      <c r="B93" s="330" t="s">
        <v>656</v>
      </c>
      <c r="C93" s="329"/>
      <c r="D93" s="329"/>
      <c r="E93" s="264"/>
      <c r="F93" s="264"/>
      <c r="G93" s="264"/>
      <c r="H93" s="348"/>
      <c r="I93" s="264"/>
      <c r="J93" s="559"/>
    </row>
    <row r="94" spans="1:10" ht="28.5">
      <c r="A94" s="470" t="s">
        <v>112</v>
      </c>
      <c r="B94" s="471" t="s">
        <v>701</v>
      </c>
      <c r="C94" s="472"/>
      <c r="D94" s="473"/>
      <c r="E94" s="266"/>
      <c r="F94" s="266"/>
      <c r="G94" s="266"/>
      <c r="H94" s="339"/>
      <c r="I94" s="410"/>
      <c r="J94" s="626"/>
    </row>
    <row r="95" spans="1:10" ht="14.25">
      <c r="A95" s="547" t="s">
        <v>43</v>
      </c>
      <c r="B95" s="89" t="s">
        <v>657</v>
      </c>
      <c r="C95" s="475" t="s">
        <v>111</v>
      </c>
      <c r="D95" s="92" t="s">
        <v>100</v>
      </c>
      <c r="E95" s="313">
        <v>0</v>
      </c>
      <c r="F95" s="313">
        <v>0</v>
      </c>
      <c r="G95" s="313">
        <v>0</v>
      </c>
      <c r="H95" s="538">
        <f aca="true" t="shared" si="7" ref="H95:H105">AVERAGEA(E95:G95)</f>
        <v>0</v>
      </c>
      <c r="I95" s="313"/>
      <c r="J95" s="620"/>
    </row>
    <row r="96" spans="1:10" ht="14.25">
      <c r="A96" s="547" t="s">
        <v>44</v>
      </c>
      <c r="B96" s="89" t="s">
        <v>658</v>
      </c>
      <c r="C96" s="475" t="s">
        <v>111</v>
      </c>
      <c r="D96" s="92" t="s">
        <v>100</v>
      </c>
      <c r="E96" s="313">
        <v>0</v>
      </c>
      <c r="F96" s="313">
        <v>0</v>
      </c>
      <c r="G96" s="313">
        <v>0</v>
      </c>
      <c r="H96" s="538">
        <f t="shared" si="7"/>
        <v>0</v>
      </c>
      <c r="I96" s="313"/>
      <c r="J96" s="620"/>
    </row>
    <row r="97" spans="1:10" ht="28.5">
      <c r="A97" s="547" t="s">
        <v>45</v>
      </c>
      <c r="B97" s="89" t="s">
        <v>659</v>
      </c>
      <c r="C97" s="475" t="s">
        <v>111</v>
      </c>
      <c r="D97" s="92" t="s">
        <v>100</v>
      </c>
      <c r="E97" s="313">
        <v>0</v>
      </c>
      <c r="F97" s="313">
        <v>0</v>
      </c>
      <c r="G97" s="313">
        <v>0</v>
      </c>
      <c r="H97" s="538">
        <f t="shared" si="7"/>
        <v>0</v>
      </c>
      <c r="I97" s="313"/>
      <c r="J97" s="620"/>
    </row>
    <row r="98" spans="1:10" ht="28.5">
      <c r="A98" s="547" t="s">
        <v>46</v>
      </c>
      <c r="B98" s="89" t="s">
        <v>1132</v>
      </c>
      <c r="C98" s="475" t="s">
        <v>111</v>
      </c>
      <c r="D98" s="92" t="s">
        <v>3</v>
      </c>
      <c r="E98" s="313">
        <v>0</v>
      </c>
      <c r="F98" s="313">
        <v>0</v>
      </c>
      <c r="G98" s="313">
        <v>0</v>
      </c>
      <c r="H98" s="538">
        <f t="shared" si="7"/>
        <v>0</v>
      </c>
      <c r="I98" s="313"/>
      <c r="J98" s="620"/>
    </row>
    <row r="99" spans="1:10" ht="28.5">
      <c r="A99" s="547" t="s">
        <v>47</v>
      </c>
      <c r="B99" s="89" t="s">
        <v>1132</v>
      </c>
      <c r="C99" s="475" t="s">
        <v>111</v>
      </c>
      <c r="D99" s="92" t="s">
        <v>100</v>
      </c>
      <c r="E99" s="313">
        <v>0</v>
      </c>
      <c r="F99" s="313">
        <v>0</v>
      </c>
      <c r="G99" s="313">
        <v>0</v>
      </c>
      <c r="H99" s="538">
        <f t="shared" si="7"/>
        <v>0</v>
      </c>
      <c r="I99" s="313"/>
      <c r="J99" s="620"/>
    </row>
    <row r="100" spans="1:10" ht="28.5">
      <c r="A100" s="547" t="s">
        <v>48</v>
      </c>
      <c r="B100" s="89" t="s">
        <v>1132</v>
      </c>
      <c r="C100" s="475" t="s">
        <v>111</v>
      </c>
      <c r="D100" s="92" t="s">
        <v>59</v>
      </c>
      <c r="E100" s="313">
        <v>0</v>
      </c>
      <c r="F100" s="313">
        <v>0</v>
      </c>
      <c r="G100" s="313">
        <v>0</v>
      </c>
      <c r="H100" s="538">
        <f t="shared" si="7"/>
        <v>0</v>
      </c>
      <c r="I100" s="313"/>
      <c r="J100" s="620"/>
    </row>
    <row r="101" spans="1:10" ht="14.25">
      <c r="A101" s="547" t="s">
        <v>49</v>
      </c>
      <c r="B101" s="89" t="s">
        <v>1134</v>
      </c>
      <c r="C101" s="475" t="s">
        <v>111</v>
      </c>
      <c r="D101" s="92" t="s">
        <v>59</v>
      </c>
      <c r="E101" s="313">
        <v>0</v>
      </c>
      <c r="F101" s="313">
        <v>0</v>
      </c>
      <c r="G101" s="313">
        <v>0</v>
      </c>
      <c r="H101" s="538">
        <f t="shared" si="7"/>
        <v>0</v>
      </c>
      <c r="I101" s="313"/>
      <c r="J101" s="620"/>
    </row>
    <row r="102" spans="1:10" ht="42.75">
      <c r="A102" s="547" t="s">
        <v>50</v>
      </c>
      <c r="B102" s="89" t="s">
        <v>1141</v>
      </c>
      <c r="C102" s="475" t="s">
        <v>111</v>
      </c>
      <c r="D102" s="92" t="s">
        <v>1131</v>
      </c>
      <c r="E102" s="313">
        <v>0</v>
      </c>
      <c r="F102" s="313">
        <v>0</v>
      </c>
      <c r="G102" s="313">
        <v>0</v>
      </c>
      <c r="H102" s="538">
        <f t="shared" si="7"/>
        <v>0</v>
      </c>
      <c r="I102" s="313"/>
      <c r="J102" s="620"/>
    </row>
    <row r="103" spans="1:10" ht="14.25">
      <c r="A103" s="547" t="s">
        <v>101</v>
      </c>
      <c r="B103" s="89" t="s">
        <v>1133</v>
      </c>
      <c r="C103" s="475" t="s">
        <v>111</v>
      </c>
      <c r="D103" s="92" t="s">
        <v>1131</v>
      </c>
      <c r="E103" s="313">
        <v>0</v>
      </c>
      <c r="F103" s="313">
        <v>0</v>
      </c>
      <c r="G103" s="313">
        <v>0</v>
      </c>
      <c r="H103" s="538">
        <f t="shared" si="7"/>
        <v>0</v>
      </c>
      <c r="I103" s="313"/>
      <c r="J103" s="620"/>
    </row>
    <row r="104" spans="1:10" ht="14.25">
      <c r="A104" s="547" t="s">
        <v>102</v>
      </c>
      <c r="B104" s="89" t="s">
        <v>19</v>
      </c>
      <c r="C104" s="475"/>
      <c r="D104" s="92" t="s">
        <v>24</v>
      </c>
      <c r="E104" s="313">
        <v>0</v>
      </c>
      <c r="F104" s="313">
        <v>0</v>
      </c>
      <c r="G104" s="313">
        <v>0</v>
      </c>
      <c r="H104" s="538">
        <f t="shared" si="7"/>
        <v>0</v>
      </c>
      <c r="I104" s="313"/>
      <c r="J104" s="620"/>
    </row>
    <row r="105" spans="1:10" ht="14.25">
      <c r="A105" s="547" t="s">
        <v>103</v>
      </c>
      <c r="B105" s="89" t="s">
        <v>660</v>
      </c>
      <c r="C105" s="475"/>
      <c r="D105" s="92" t="s">
        <v>34</v>
      </c>
      <c r="E105" s="313">
        <v>0</v>
      </c>
      <c r="F105" s="313">
        <v>0</v>
      </c>
      <c r="G105" s="313">
        <v>0</v>
      </c>
      <c r="H105" s="538">
        <f t="shared" si="7"/>
        <v>0</v>
      </c>
      <c r="I105" s="313"/>
      <c r="J105" s="620"/>
    </row>
    <row r="106" spans="1:10" ht="14.25">
      <c r="A106" s="547" t="s">
        <v>893</v>
      </c>
      <c r="B106" s="89" t="s">
        <v>1274</v>
      </c>
      <c r="C106" s="475"/>
      <c r="D106" s="92" t="s">
        <v>1182</v>
      </c>
      <c r="E106" s="532"/>
      <c r="F106" s="532"/>
      <c r="G106" s="609">
        <v>0</v>
      </c>
      <c r="H106" s="538">
        <f>G106</f>
        <v>0</v>
      </c>
      <c r="I106" s="532"/>
      <c r="J106" s="620"/>
    </row>
    <row r="107" spans="1:10" ht="14.25">
      <c r="A107" s="547" t="s">
        <v>1158</v>
      </c>
      <c r="B107" s="89" t="s">
        <v>1275</v>
      </c>
      <c r="C107" s="475"/>
      <c r="D107" s="92" t="s">
        <v>1182</v>
      </c>
      <c r="E107" s="532"/>
      <c r="F107" s="532"/>
      <c r="G107" s="609">
        <v>0</v>
      </c>
      <c r="H107" s="538">
        <f>G107</f>
        <v>0</v>
      </c>
      <c r="I107" s="532"/>
      <c r="J107" s="620"/>
    </row>
    <row r="108" spans="1:10" ht="28.5">
      <c r="A108" s="538" t="s">
        <v>1172</v>
      </c>
      <c r="B108" s="706" t="s">
        <v>1159</v>
      </c>
      <c r="C108" s="538" t="s">
        <v>1385</v>
      </c>
      <c r="D108" s="538" t="s">
        <v>1182</v>
      </c>
      <c r="E108" s="532"/>
      <c r="F108" s="532"/>
      <c r="G108" s="609">
        <f>G106-G107</f>
        <v>0</v>
      </c>
      <c r="H108" s="538">
        <f>G108</f>
        <v>0</v>
      </c>
      <c r="I108" s="532"/>
      <c r="J108" s="620"/>
    </row>
    <row r="109" spans="1:10" ht="28.5">
      <c r="A109" s="547" t="s">
        <v>1173</v>
      </c>
      <c r="B109" s="89" t="s">
        <v>1160</v>
      </c>
      <c r="C109" s="475"/>
      <c r="D109" s="92" t="s">
        <v>1161</v>
      </c>
      <c r="E109" s="532"/>
      <c r="F109" s="532"/>
      <c r="G109" s="313">
        <v>0</v>
      </c>
      <c r="H109" s="538">
        <f>G109</f>
        <v>0</v>
      </c>
      <c r="I109" s="532"/>
      <c r="J109" s="620"/>
    </row>
    <row r="110" spans="1:10" ht="15" thickBot="1">
      <c r="A110" s="373" t="s">
        <v>1174</v>
      </c>
      <c r="B110" s="372" t="s">
        <v>536</v>
      </c>
      <c r="C110" s="373" t="s">
        <v>1422</v>
      </c>
      <c r="D110" s="373" t="s">
        <v>100</v>
      </c>
      <c r="E110" s="373">
        <f>E95+E96+E97</f>
        <v>0</v>
      </c>
      <c r="F110" s="373">
        <f>F95+F96+F97</f>
        <v>0</v>
      </c>
      <c r="G110" s="373">
        <f>G95+G96+G97</f>
        <v>0</v>
      </c>
      <c r="H110" s="374">
        <f>H95+H96+H97</f>
        <v>0</v>
      </c>
      <c r="I110" s="373">
        <f>I95+I96+I97</f>
        <v>0</v>
      </c>
      <c r="J110" s="627"/>
    </row>
    <row r="111" spans="1:10" ht="29.25" thickBot="1">
      <c r="A111" s="54" t="s">
        <v>1276</v>
      </c>
      <c r="B111" s="52" t="s">
        <v>731</v>
      </c>
      <c r="C111" s="54" t="s">
        <v>1423</v>
      </c>
      <c r="D111" s="54" t="s">
        <v>100</v>
      </c>
      <c r="E111" s="54">
        <f>IF((E95+E96+E97)&gt;E239,((E95+E96+E97)-E239),0)</f>
        <v>0</v>
      </c>
      <c r="F111" s="54">
        <f>IF((F95+F96+F97)&gt;F239,((F95+F96+F97)-F239),0)</f>
        <v>0</v>
      </c>
      <c r="G111" s="54">
        <f>IF((G95+G96+G97)&gt;G239,((G95+G96+G97)-G239),0)</f>
        <v>0</v>
      </c>
      <c r="H111" s="345">
        <f>IF((H95+H96+H97)&gt;H239,((H95+H96+H97)-H239),0)</f>
        <v>0</v>
      </c>
      <c r="I111" s="54">
        <f>IF((I95+I96+I97)&gt;I239,((I95+I96+I97)-I239),0)</f>
        <v>0</v>
      </c>
      <c r="J111" s="336"/>
    </row>
    <row r="112" spans="1:10" ht="43.5" thickBot="1">
      <c r="A112" s="307" t="s">
        <v>1277</v>
      </c>
      <c r="B112" s="306" t="s">
        <v>732</v>
      </c>
      <c r="C112" s="307" t="s">
        <v>661</v>
      </c>
      <c r="D112" s="307" t="s">
        <v>234</v>
      </c>
      <c r="E112" s="307">
        <f>E111*860/10</f>
        <v>0</v>
      </c>
      <c r="F112" s="307">
        <f>F111*860/10</f>
        <v>0</v>
      </c>
      <c r="G112" s="307">
        <f>G111*860/10</f>
        <v>0</v>
      </c>
      <c r="H112" s="346">
        <f>H111*860/10</f>
        <v>0</v>
      </c>
      <c r="I112" s="307">
        <f>I111*860/10</f>
        <v>0</v>
      </c>
      <c r="J112" s="335"/>
    </row>
    <row r="113" spans="1:10" ht="14.25">
      <c r="A113" s="113"/>
      <c r="B113" s="476"/>
      <c r="C113" s="456"/>
      <c r="D113" s="457"/>
      <c r="E113" s="304"/>
      <c r="F113" s="304"/>
      <c r="G113" s="304"/>
      <c r="H113" s="350"/>
      <c r="I113" s="305"/>
      <c r="J113" s="628"/>
    </row>
    <row r="114" spans="1:10" ht="14.25">
      <c r="A114" s="470" t="s">
        <v>51</v>
      </c>
      <c r="B114" s="471" t="s">
        <v>61</v>
      </c>
      <c r="C114" s="472"/>
      <c r="D114" s="473"/>
      <c r="E114" s="266"/>
      <c r="F114" s="266"/>
      <c r="G114" s="266"/>
      <c r="H114" s="339"/>
      <c r="I114" s="410"/>
      <c r="J114" s="626"/>
    </row>
    <row r="115" spans="1:10" ht="14.25">
      <c r="A115" s="477" t="s">
        <v>313</v>
      </c>
      <c r="B115" s="478" t="s">
        <v>8</v>
      </c>
      <c r="C115" s="780"/>
      <c r="D115" s="473"/>
      <c r="E115" s="266"/>
      <c r="F115" s="266"/>
      <c r="G115" s="266"/>
      <c r="H115" s="339"/>
      <c r="I115" s="410"/>
      <c r="J115" s="626"/>
    </row>
    <row r="116" spans="1:10" ht="14.25">
      <c r="A116" s="96" t="s">
        <v>43</v>
      </c>
      <c r="B116" s="463" t="s">
        <v>1150</v>
      </c>
      <c r="C116" s="479"/>
      <c r="D116" s="100" t="s">
        <v>698</v>
      </c>
      <c r="E116" s="44" t="s">
        <v>838</v>
      </c>
      <c r="F116" s="44" t="s">
        <v>838</v>
      </c>
      <c r="G116" s="44" t="s">
        <v>838</v>
      </c>
      <c r="H116" s="60" t="s">
        <v>838</v>
      </c>
      <c r="I116" s="44" t="s">
        <v>838</v>
      </c>
      <c r="J116" s="620"/>
    </row>
    <row r="117" spans="1:10" ht="14.25">
      <c r="A117" s="96" t="s">
        <v>44</v>
      </c>
      <c r="B117" s="463" t="s">
        <v>662</v>
      </c>
      <c r="C117" s="480"/>
      <c r="D117" s="100" t="s">
        <v>59</v>
      </c>
      <c r="E117" s="819"/>
      <c r="F117" s="819"/>
      <c r="G117" s="819"/>
      <c r="H117" s="371">
        <f>_xlfn.IFERROR(_xlfn.AVERAGEIF(E117:G117,"&gt;0",E117:G117),0)</f>
        <v>0</v>
      </c>
      <c r="I117" s="313"/>
      <c r="J117" s="620"/>
    </row>
    <row r="118" spans="1:10" ht="14.25">
      <c r="A118" s="96" t="s">
        <v>45</v>
      </c>
      <c r="B118" s="463" t="s">
        <v>1403</v>
      </c>
      <c r="C118" s="464" t="s">
        <v>111</v>
      </c>
      <c r="D118" s="100" t="s">
        <v>100</v>
      </c>
      <c r="E118" s="313">
        <v>0</v>
      </c>
      <c r="F118" s="313">
        <v>0</v>
      </c>
      <c r="G118" s="313">
        <v>0</v>
      </c>
      <c r="H118" s="371">
        <f>AVERAGEA(E118:G118)</f>
        <v>0</v>
      </c>
      <c r="I118" s="313"/>
      <c r="J118" s="620"/>
    </row>
    <row r="119" spans="1:10" ht="14.25">
      <c r="A119" s="96" t="s">
        <v>46</v>
      </c>
      <c r="B119" s="89" t="s">
        <v>752</v>
      </c>
      <c r="C119" s="90"/>
      <c r="D119" s="92" t="s">
        <v>242</v>
      </c>
      <c r="E119" s="367"/>
      <c r="F119" s="367"/>
      <c r="G119" s="367"/>
      <c r="H119" s="371">
        <f>_xlfn.IFERROR(_xlfn.AVERAGEIF(E119:G119,"&gt;0",E119:G119),0)</f>
        <v>0</v>
      </c>
      <c r="I119" s="313"/>
      <c r="J119" s="620"/>
    </row>
    <row r="120" spans="1:10" ht="14.25">
      <c r="A120" s="96" t="s">
        <v>47</v>
      </c>
      <c r="B120" s="89" t="s">
        <v>288</v>
      </c>
      <c r="C120" s="90" t="s">
        <v>111</v>
      </c>
      <c r="D120" s="92" t="s">
        <v>161</v>
      </c>
      <c r="E120" s="313">
        <v>0</v>
      </c>
      <c r="F120" s="313">
        <v>0</v>
      </c>
      <c r="G120" s="313">
        <v>0</v>
      </c>
      <c r="H120" s="371">
        <f>AVERAGEA(E120:G120)</f>
        <v>0</v>
      </c>
      <c r="I120" s="313"/>
      <c r="J120" s="620"/>
    </row>
    <row r="121" spans="1:10" ht="14.25">
      <c r="A121" s="96"/>
      <c r="B121" s="89"/>
      <c r="C121" s="90"/>
      <c r="D121" s="92"/>
      <c r="E121" s="783"/>
      <c r="F121" s="783"/>
      <c r="G121" s="783"/>
      <c r="H121" s="60"/>
      <c r="I121" s="44"/>
      <c r="J121" s="629"/>
    </row>
    <row r="122" spans="1:10" ht="14.25">
      <c r="A122" s="477" t="s">
        <v>314</v>
      </c>
      <c r="B122" s="478" t="s">
        <v>57</v>
      </c>
      <c r="C122" s="780"/>
      <c r="D122" s="473"/>
      <c r="E122" s="266"/>
      <c r="F122" s="266"/>
      <c r="G122" s="266"/>
      <c r="H122" s="339"/>
      <c r="I122" s="410"/>
      <c r="J122" s="626"/>
    </row>
    <row r="123" spans="1:10" ht="14.25">
      <c r="A123" s="477" t="s">
        <v>746</v>
      </c>
      <c r="B123" s="478" t="s">
        <v>1248</v>
      </c>
      <c r="C123" s="780"/>
      <c r="D123" s="473"/>
      <c r="E123" s="266"/>
      <c r="F123" s="266"/>
      <c r="G123" s="266"/>
      <c r="H123" s="339"/>
      <c r="I123" s="410"/>
      <c r="J123" s="626"/>
    </row>
    <row r="124" spans="1:10" ht="14.25">
      <c r="A124" s="96" t="s">
        <v>43</v>
      </c>
      <c r="B124" s="463" t="s">
        <v>1150</v>
      </c>
      <c r="C124" s="479"/>
      <c r="D124" s="100" t="s">
        <v>698</v>
      </c>
      <c r="E124" s="44" t="s">
        <v>838</v>
      </c>
      <c r="F124" s="44" t="s">
        <v>838</v>
      </c>
      <c r="G124" s="44" t="s">
        <v>838</v>
      </c>
      <c r="H124" s="60" t="s">
        <v>838</v>
      </c>
      <c r="I124" s="44" t="s">
        <v>838</v>
      </c>
      <c r="J124" s="620"/>
    </row>
    <row r="125" spans="1:10" ht="14.25">
      <c r="A125" s="96" t="s">
        <v>44</v>
      </c>
      <c r="B125" s="463" t="s">
        <v>662</v>
      </c>
      <c r="C125" s="480"/>
      <c r="D125" s="100" t="s">
        <v>59</v>
      </c>
      <c r="E125" s="367"/>
      <c r="F125" s="367"/>
      <c r="G125" s="367"/>
      <c r="H125" s="371">
        <f>_xlfn.IFERROR(_xlfn.AVERAGEIF(E125:G125,"&gt;0",E125:G125),0)</f>
        <v>0</v>
      </c>
      <c r="I125" s="313"/>
      <c r="J125" s="620"/>
    </row>
    <row r="126" spans="1:10" ht="14.25">
      <c r="A126" s="96" t="s">
        <v>45</v>
      </c>
      <c r="B126" s="463" t="s">
        <v>181</v>
      </c>
      <c r="C126" s="90" t="s">
        <v>111</v>
      </c>
      <c r="D126" s="100" t="s">
        <v>100</v>
      </c>
      <c r="E126" s="313">
        <v>0</v>
      </c>
      <c r="F126" s="313">
        <v>0</v>
      </c>
      <c r="G126" s="313">
        <v>0</v>
      </c>
      <c r="H126" s="371">
        <f>AVERAGEA(E126:G126)</f>
        <v>0</v>
      </c>
      <c r="I126" s="313"/>
      <c r="J126" s="620"/>
    </row>
    <row r="127" spans="1:10" ht="14.25">
      <c r="A127" s="96" t="s">
        <v>46</v>
      </c>
      <c r="B127" s="89" t="s">
        <v>263</v>
      </c>
      <c r="C127" s="90" t="s">
        <v>111</v>
      </c>
      <c r="D127" s="92" t="s">
        <v>3</v>
      </c>
      <c r="E127" s="367"/>
      <c r="F127" s="367"/>
      <c r="G127" s="367"/>
      <c r="H127" s="371">
        <f>_xlfn.IFERROR(_xlfn.AVERAGEIF(E127:G127,"&gt;0",E127:G127),0)</f>
        <v>0</v>
      </c>
      <c r="I127" s="313"/>
      <c r="J127" s="620"/>
    </row>
    <row r="128" spans="1:10" ht="14.25">
      <c r="A128" s="96" t="s">
        <v>47</v>
      </c>
      <c r="B128" s="89" t="s">
        <v>753</v>
      </c>
      <c r="C128" s="90"/>
      <c r="D128" s="92" t="s">
        <v>261</v>
      </c>
      <c r="E128" s="367"/>
      <c r="F128" s="367"/>
      <c r="G128" s="367"/>
      <c r="H128" s="371">
        <f>_xlfn.IFERROR(_xlfn.AVERAGEIF(E128:G128,"&gt;0",E128:G128),0)</f>
        <v>0</v>
      </c>
      <c r="I128" s="313"/>
      <c r="J128" s="620"/>
    </row>
    <row r="129" spans="1:10" ht="14.25">
      <c r="A129" s="96" t="s">
        <v>48</v>
      </c>
      <c r="B129" s="89" t="s">
        <v>288</v>
      </c>
      <c r="C129" s="90" t="s">
        <v>111</v>
      </c>
      <c r="D129" s="92" t="s">
        <v>161</v>
      </c>
      <c r="E129" s="313">
        <v>0</v>
      </c>
      <c r="F129" s="313">
        <v>0</v>
      </c>
      <c r="G129" s="313">
        <v>0</v>
      </c>
      <c r="H129" s="371">
        <f>AVERAGEA(E129:G129)</f>
        <v>0</v>
      </c>
      <c r="I129" s="313"/>
      <c r="J129" s="620"/>
    </row>
    <row r="130" spans="1:10" ht="14.25">
      <c r="A130" s="96" t="s">
        <v>49</v>
      </c>
      <c r="B130" s="89" t="s">
        <v>1268</v>
      </c>
      <c r="C130" s="90" t="s">
        <v>111</v>
      </c>
      <c r="D130" s="92" t="s">
        <v>161</v>
      </c>
      <c r="E130" s="313">
        <v>0</v>
      </c>
      <c r="F130" s="313">
        <v>0</v>
      </c>
      <c r="G130" s="313">
        <v>0</v>
      </c>
      <c r="H130" s="371">
        <f>AVERAGEA(E130:G130)</f>
        <v>0</v>
      </c>
      <c r="I130" s="313"/>
      <c r="J130" s="620"/>
    </row>
    <row r="131" spans="1:10" ht="28.5">
      <c r="A131" s="96" t="s">
        <v>50</v>
      </c>
      <c r="B131" s="89" t="s">
        <v>1219</v>
      </c>
      <c r="C131" s="90" t="s">
        <v>111</v>
      </c>
      <c r="D131" s="92" t="s">
        <v>161</v>
      </c>
      <c r="E131" s="367"/>
      <c r="F131" s="367"/>
      <c r="G131" s="367"/>
      <c r="H131" s="371">
        <f>_xlfn.IFERROR(_xlfn.AVERAGEIF(E131:G131,"&gt;0",E131:G131),0)</f>
        <v>0</v>
      </c>
      <c r="I131" s="313"/>
      <c r="J131" s="620"/>
    </row>
    <row r="132" spans="1:10" ht="28.5">
      <c r="A132" s="96" t="s">
        <v>101</v>
      </c>
      <c r="B132" s="89" t="s">
        <v>1100</v>
      </c>
      <c r="C132" s="90" t="s">
        <v>111</v>
      </c>
      <c r="D132" s="92" t="s">
        <v>161</v>
      </c>
      <c r="E132" s="367"/>
      <c r="F132" s="367"/>
      <c r="G132" s="367"/>
      <c r="H132" s="371">
        <f>_xlfn.IFERROR(_xlfn.AVERAGEIF(E132:G132,"&gt;0",E132:G132),0)</f>
        <v>0</v>
      </c>
      <c r="I132" s="313"/>
      <c r="J132" s="620"/>
    </row>
    <row r="133" spans="1:10" ht="29.25" thickBot="1">
      <c r="A133" s="96" t="s">
        <v>102</v>
      </c>
      <c r="B133" s="89" t="s">
        <v>1101</v>
      </c>
      <c r="C133" s="90" t="s">
        <v>111</v>
      </c>
      <c r="D133" s="92" t="s">
        <v>161</v>
      </c>
      <c r="E133" s="367"/>
      <c r="F133" s="367"/>
      <c r="G133" s="367"/>
      <c r="H133" s="371">
        <f>_xlfn.IFERROR(_xlfn.AVERAGEIF(E133:G133,"&gt;0",E133:G133),0)</f>
        <v>0</v>
      </c>
      <c r="I133" s="313"/>
      <c r="J133" s="620"/>
    </row>
    <row r="134" spans="1:10" ht="35.25" customHeight="1" thickBot="1">
      <c r="A134" s="39" t="s">
        <v>103</v>
      </c>
      <c r="B134" s="40" t="s">
        <v>1255</v>
      </c>
      <c r="C134" s="54" t="s">
        <v>1386</v>
      </c>
      <c r="D134" s="39" t="s">
        <v>59</v>
      </c>
      <c r="E134" s="41">
        <f>_xlfn.IFERROR(E126*100/E129,0)</f>
        <v>0</v>
      </c>
      <c r="F134" s="41">
        <f>_xlfn.IFERROR(F126*100/F129,0)</f>
        <v>0</v>
      </c>
      <c r="G134" s="41">
        <f>_xlfn.IFERROR(G126*100/G129,0)</f>
        <v>0</v>
      </c>
      <c r="H134" s="41">
        <f>_xlfn.IFERROR(H126*100/H129,0)</f>
        <v>0</v>
      </c>
      <c r="I134" s="41">
        <f>_xlfn.IFERROR(I126*100/I129,0)</f>
        <v>0</v>
      </c>
      <c r="J134" s="359"/>
    </row>
    <row r="135" spans="1:10" ht="45" customHeight="1" thickBot="1">
      <c r="A135" s="39" t="s">
        <v>893</v>
      </c>
      <c r="B135" s="40" t="s">
        <v>747</v>
      </c>
      <c r="C135" s="54" t="s">
        <v>1270</v>
      </c>
      <c r="D135" s="39"/>
      <c r="E135" s="41">
        <f>_xlfn.IFERROR((E130-E131)/E130,0)</f>
        <v>0</v>
      </c>
      <c r="F135" s="41">
        <f>_xlfn.IFERROR((F130-F131)/F130,0)</f>
        <v>0</v>
      </c>
      <c r="G135" s="41">
        <f>_xlfn.IFERROR((G130-G131)/G130,0)</f>
        <v>0</v>
      </c>
      <c r="H135" s="41">
        <f>_xlfn.IFERROR((H130-H131)/H130,0)</f>
        <v>0</v>
      </c>
      <c r="I135" s="41">
        <f>_xlfn.IFERROR((I130-I131)/I130,0)</f>
        <v>0</v>
      </c>
      <c r="J135" s="359"/>
    </row>
    <row r="136" spans="1:10" ht="42" thickBot="1">
      <c r="A136" s="39" t="s">
        <v>1158</v>
      </c>
      <c r="B136" s="40" t="s">
        <v>1269</v>
      </c>
      <c r="C136" s="792" t="s">
        <v>1567</v>
      </c>
      <c r="D136" s="39" t="s">
        <v>3</v>
      </c>
      <c r="E136" s="41">
        <f>_xlfn.IFERROR(E126*100*100/(E125*E130*E135),0)</f>
        <v>0</v>
      </c>
      <c r="F136" s="41">
        <f>_xlfn.IFERROR(F126*100*100/(F125*F130*F135),0)</f>
        <v>0</v>
      </c>
      <c r="G136" s="41">
        <f>_xlfn.IFERROR(G126*100*100/(G125*G130*G135),0)</f>
        <v>0</v>
      </c>
      <c r="H136" s="41">
        <f>_xlfn.IFERROR((E136*E126+F136*F126+G136*G126)/(E126+F126+G126),0)</f>
        <v>0</v>
      </c>
      <c r="I136" s="41">
        <f>_xlfn.IFERROR(I126*100*100/(I125*I130*I135),0)</f>
        <v>0</v>
      </c>
      <c r="J136" s="359"/>
    </row>
    <row r="137" spans="1:10" ht="29.25" thickBot="1">
      <c r="A137" s="58" t="s">
        <v>1172</v>
      </c>
      <c r="B137" s="311" t="s">
        <v>751</v>
      </c>
      <c r="C137" s="307" t="s">
        <v>1271</v>
      </c>
      <c r="D137" s="58" t="s">
        <v>3</v>
      </c>
      <c r="E137" s="351">
        <f>_xlfn.IFERROR(E133*100/(E132+E133),0)</f>
        <v>0</v>
      </c>
      <c r="F137" s="351">
        <f>_xlfn.IFERROR(F133*100/(F132+F133),0)</f>
        <v>0</v>
      </c>
      <c r="G137" s="351">
        <f>_xlfn.IFERROR(G133*100/(G132+G133),0)</f>
        <v>0</v>
      </c>
      <c r="H137" s="351">
        <f>_xlfn.IFERROR(H133*100/(H132+H133),0)</f>
        <v>0</v>
      </c>
      <c r="I137" s="351">
        <f>_xlfn.IFERROR(I133*100/(I132+I133),0)</f>
        <v>0</v>
      </c>
      <c r="J137" s="356"/>
    </row>
    <row r="138" spans="1:10" ht="14.25">
      <c r="A138" s="555"/>
      <c r="B138" s="617"/>
      <c r="C138" s="781"/>
      <c r="D138" s="300"/>
      <c r="E138" s="323"/>
      <c r="F138" s="323"/>
      <c r="G138" s="323"/>
      <c r="H138" s="323"/>
      <c r="I138" s="323"/>
      <c r="J138" s="639"/>
    </row>
    <row r="139" spans="1:10" ht="14.25">
      <c r="A139" s="477" t="s">
        <v>748</v>
      </c>
      <c r="B139" s="478" t="s">
        <v>1249</v>
      </c>
      <c r="C139" s="780"/>
      <c r="D139" s="473"/>
      <c r="E139" s="266"/>
      <c r="F139" s="266"/>
      <c r="G139" s="266"/>
      <c r="H139" s="339"/>
      <c r="I139" s="410"/>
      <c r="J139" s="626"/>
    </row>
    <row r="140" spans="1:10" ht="14.25">
      <c r="A140" s="96" t="s">
        <v>43</v>
      </c>
      <c r="B140" s="463" t="s">
        <v>1150</v>
      </c>
      <c r="C140" s="479"/>
      <c r="D140" s="100" t="s">
        <v>698</v>
      </c>
      <c r="E140" s="44" t="s">
        <v>838</v>
      </c>
      <c r="F140" s="44" t="s">
        <v>838</v>
      </c>
      <c r="G140" s="44" t="s">
        <v>838</v>
      </c>
      <c r="H140" s="60" t="s">
        <v>838</v>
      </c>
      <c r="I140" s="44" t="s">
        <v>838</v>
      </c>
      <c r="J140" s="620"/>
    </row>
    <row r="141" spans="1:10" ht="14.25">
      <c r="A141" s="96" t="s">
        <v>44</v>
      </c>
      <c r="B141" s="463" t="s">
        <v>662</v>
      </c>
      <c r="C141" s="480"/>
      <c r="D141" s="100" t="s">
        <v>59</v>
      </c>
      <c r="E141" s="367"/>
      <c r="F141" s="367"/>
      <c r="G141" s="367"/>
      <c r="H141" s="371">
        <f>_xlfn.IFERROR(_xlfn.AVERAGEIF(E141:G141,"&gt;0",E141:G141),0)</f>
        <v>0</v>
      </c>
      <c r="I141" s="313"/>
      <c r="J141" s="620"/>
    </row>
    <row r="142" spans="1:10" ht="14.25">
      <c r="A142" s="96" t="s">
        <v>45</v>
      </c>
      <c r="B142" s="463" t="s">
        <v>181</v>
      </c>
      <c r="C142" s="90" t="s">
        <v>111</v>
      </c>
      <c r="D142" s="100" t="s">
        <v>100</v>
      </c>
      <c r="E142" s="313">
        <v>0</v>
      </c>
      <c r="F142" s="313">
        <v>0</v>
      </c>
      <c r="G142" s="313">
        <v>0</v>
      </c>
      <c r="H142" s="371">
        <f>AVERAGEA(E142:G142)</f>
        <v>0</v>
      </c>
      <c r="I142" s="313"/>
      <c r="J142" s="620"/>
    </row>
    <row r="143" spans="1:10" ht="14.25">
      <c r="A143" s="96" t="s">
        <v>46</v>
      </c>
      <c r="B143" s="89" t="s">
        <v>263</v>
      </c>
      <c r="C143" s="90" t="s">
        <v>111</v>
      </c>
      <c r="D143" s="92" t="s">
        <v>3</v>
      </c>
      <c r="E143" s="367"/>
      <c r="F143" s="367"/>
      <c r="G143" s="367"/>
      <c r="H143" s="371">
        <f>_xlfn.IFERROR(_xlfn.AVERAGEIF(E143:G143,"&gt;0",E143:G143),0)</f>
        <v>0</v>
      </c>
      <c r="I143" s="313"/>
      <c r="J143" s="620"/>
    </row>
    <row r="144" spans="1:10" ht="14.25">
      <c r="A144" s="96" t="s">
        <v>47</v>
      </c>
      <c r="B144" s="89" t="s">
        <v>753</v>
      </c>
      <c r="C144" s="90"/>
      <c r="D144" s="92" t="s">
        <v>261</v>
      </c>
      <c r="E144" s="367"/>
      <c r="F144" s="367"/>
      <c r="G144" s="367"/>
      <c r="H144" s="371">
        <f>_xlfn.IFERROR(_xlfn.AVERAGEIF(E144:G144,"&gt;0",E144:G144),0)</f>
        <v>0</v>
      </c>
      <c r="I144" s="313"/>
      <c r="J144" s="620"/>
    </row>
    <row r="145" spans="1:10" ht="14.25">
      <c r="A145" s="96" t="s">
        <v>48</v>
      </c>
      <c r="B145" s="89" t="s">
        <v>288</v>
      </c>
      <c r="C145" s="90" t="s">
        <v>111</v>
      </c>
      <c r="D145" s="92" t="s">
        <v>161</v>
      </c>
      <c r="E145" s="313">
        <v>0</v>
      </c>
      <c r="F145" s="313">
        <v>0</v>
      </c>
      <c r="G145" s="313">
        <v>0</v>
      </c>
      <c r="H145" s="371">
        <f>AVERAGEA(E145:G145)</f>
        <v>0</v>
      </c>
      <c r="I145" s="313"/>
      <c r="J145" s="620"/>
    </row>
    <row r="146" spans="1:10" ht="14.25">
      <c r="A146" s="96" t="s">
        <v>49</v>
      </c>
      <c r="B146" s="89" t="s">
        <v>1273</v>
      </c>
      <c r="C146" s="90" t="s">
        <v>111</v>
      </c>
      <c r="D146" s="92" t="s">
        <v>161</v>
      </c>
      <c r="E146" s="313">
        <v>0</v>
      </c>
      <c r="F146" s="313">
        <v>0</v>
      </c>
      <c r="G146" s="313">
        <v>0</v>
      </c>
      <c r="H146" s="371">
        <f>AVERAGEA(E146:G146)</f>
        <v>0</v>
      </c>
      <c r="I146" s="313"/>
      <c r="J146" s="620"/>
    </row>
    <row r="147" spans="1:10" ht="28.5">
      <c r="A147" s="96" t="s">
        <v>50</v>
      </c>
      <c r="B147" s="89" t="s">
        <v>1219</v>
      </c>
      <c r="C147" s="90" t="s">
        <v>111</v>
      </c>
      <c r="D147" s="92" t="s">
        <v>161</v>
      </c>
      <c r="E147" s="367"/>
      <c r="F147" s="367"/>
      <c r="G147" s="367"/>
      <c r="H147" s="371">
        <f>_xlfn.IFERROR(_xlfn.AVERAGEIF(E147:G147,"&gt;0",E147:G147),0)</f>
        <v>0</v>
      </c>
      <c r="I147" s="313"/>
      <c r="J147" s="620"/>
    </row>
    <row r="148" spans="1:10" ht="28.5">
      <c r="A148" s="96" t="s">
        <v>101</v>
      </c>
      <c r="B148" s="89" t="s">
        <v>1100</v>
      </c>
      <c r="C148" s="90" t="s">
        <v>111</v>
      </c>
      <c r="D148" s="92" t="s">
        <v>161</v>
      </c>
      <c r="E148" s="367"/>
      <c r="F148" s="367"/>
      <c r="G148" s="367"/>
      <c r="H148" s="371">
        <f>_xlfn.IFERROR(_xlfn.AVERAGEIF(E148:G148,"&gt;0",E148:G148),0)</f>
        <v>0</v>
      </c>
      <c r="I148" s="313"/>
      <c r="J148" s="620"/>
    </row>
    <row r="149" spans="1:10" ht="29.25" thickBot="1">
      <c r="A149" s="96" t="s">
        <v>102</v>
      </c>
      <c r="B149" s="89" t="s">
        <v>1101</v>
      </c>
      <c r="C149" s="90" t="s">
        <v>111</v>
      </c>
      <c r="D149" s="92" t="s">
        <v>161</v>
      </c>
      <c r="E149" s="367"/>
      <c r="F149" s="367"/>
      <c r="G149" s="367"/>
      <c r="H149" s="371">
        <f>_xlfn.IFERROR(_xlfn.AVERAGEIF(E149:G149,"&gt;0",E149:G149),0)</f>
        <v>0</v>
      </c>
      <c r="I149" s="313"/>
      <c r="J149" s="620"/>
    </row>
    <row r="150" spans="1:10" ht="30" customHeight="1" thickBot="1">
      <c r="A150" s="39" t="s">
        <v>103</v>
      </c>
      <c r="B150" s="40" t="s">
        <v>1255</v>
      </c>
      <c r="C150" s="54" t="s">
        <v>1387</v>
      </c>
      <c r="D150" s="39" t="s">
        <v>59</v>
      </c>
      <c r="E150" s="41">
        <f>_xlfn.IFERROR(E142*100/E145,0)</f>
        <v>0</v>
      </c>
      <c r="F150" s="41">
        <f>_xlfn.IFERROR(F142*100/F145,0)</f>
        <v>0</v>
      </c>
      <c r="G150" s="41">
        <f>_xlfn.IFERROR(G142*100/G145,0)</f>
        <v>0</v>
      </c>
      <c r="H150" s="41">
        <f>_xlfn.IFERROR(H142*100/H145,0)</f>
        <v>0</v>
      </c>
      <c r="I150" s="41">
        <f>_xlfn.IFERROR(I142*100/I145,0)</f>
        <v>0</v>
      </c>
      <c r="J150" s="359"/>
    </row>
    <row r="151" spans="1:10" ht="29.25" thickBot="1">
      <c r="A151" s="39" t="s">
        <v>893</v>
      </c>
      <c r="B151" s="40" t="s">
        <v>747</v>
      </c>
      <c r="C151" s="54" t="s">
        <v>1388</v>
      </c>
      <c r="D151" s="39"/>
      <c r="E151" s="41">
        <f>_xlfn.IFERROR((E146-E147)/E146,0)</f>
        <v>0</v>
      </c>
      <c r="F151" s="41">
        <f>_xlfn.IFERROR((F146-F147)/F146,0)</f>
        <v>0</v>
      </c>
      <c r="G151" s="41">
        <f>_xlfn.IFERROR((G146-G147)/G146,0)</f>
        <v>0</v>
      </c>
      <c r="H151" s="41">
        <f>_xlfn.IFERROR((H146-H147)/H146,0)</f>
        <v>0</v>
      </c>
      <c r="I151" s="41">
        <f>_xlfn.IFERROR((I146-I147)/I146,0)</f>
        <v>0</v>
      </c>
      <c r="J151" s="359"/>
    </row>
    <row r="152" spans="1:10" ht="51.75" customHeight="1" thickBot="1">
      <c r="A152" s="39" t="s">
        <v>1158</v>
      </c>
      <c r="B152" s="40" t="s">
        <v>1269</v>
      </c>
      <c r="C152" s="792" t="s">
        <v>1568</v>
      </c>
      <c r="D152" s="39" t="s">
        <v>3</v>
      </c>
      <c r="E152" s="41">
        <f>_xlfn.IFERROR(E142*100*100/(E141*E146*E151),0)</f>
        <v>0</v>
      </c>
      <c r="F152" s="41">
        <f>_xlfn.IFERROR(F142*100*100/(F141*F146*F151),0)</f>
        <v>0</v>
      </c>
      <c r="G152" s="41">
        <f>_xlfn.IFERROR(G142*100*100/(G141*G146*G151),0)</f>
        <v>0</v>
      </c>
      <c r="H152" s="41">
        <f>_xlfn.IFERROR((E152*E142+F152*F142+G152*G142)/(E142+F142+G142),0)</f>
        <v>0</v>
      </c>
      <c r="I152" s="41">
        <f>_xlfn.IFERROR(I142*100*100/(I141*I146*I151),0)</f>
        <v>0</v>
      </c>
      <c r="J152" s="359"/>
    </row>
    <row r="153" spans="1:10" ht="29.25" thickBot="1">
      <c r="A153" s="58" t="s">
        <v>1172</v>
      </c>
      <c r="B153" s="311" t="s">
        <v>751</v>
      </c>
      <c r="C153" s="307" t="s">
        <v>1389</v>
      </c>
      <c r="D153" s="58" t="s">
        <v>3</v>
      </c>
      <c r="E153" s="351">
        <f>_xlfn.IFERROR(E149*100/(E148+E149),0)</f>
        <v>0</v>
      </c>
      <c r="F153" s="351">
        <f>_xlfn.IFERROR(F149*100/(F148+F149),0)</f>
        <v>0</v>
      </c>
      <c r="G153" s="351">
        <f>_xlfn.IFERROR(G149*100/(G148+G149),0)</f>
        <v>0</v>
      </c>
      <c r="H153" s="351">
        <f>_xlfn.IFERROR(H149*100/(H148+H149),0)</f>
        <v>0</v>
      </c>
      <c r="I153" s="351">
        <f>_xlfn.IFERROR(I149*100/(I148+I149),0)</f>
        <v>0</v>
      </c>
      <c r="J153" s="356"/>
    </row>
    <row r="154" spans="1:10" ht="14.25">
      <c r="A154" s="555"/>
      <c r="B154" s="617"/>
      <c r="C154" s="781"/>
      <c r="D154" s="300"/>
      <c r="E154" s="323"/>
      <c r="F154" s="323"/>
      <c r="G154" s="323"/>
      <c r="H154" s="323"/>
      <c r="I154" s="323"/>
      <c r="J154" s="639"/>
    </row>
    <row r="155" spans="1:10" ht="14.25">
      <c r="A155" s="477" t="s">
        <v>749</v>
      </c>
      <c r="B155" s="478" t="s">
        <v>1250</v>
      </c>
      <c r="C155" s="780"/>
      <c r="D155" s="473"/>
      <c r="E155" s="266"/>
      <c r="F155" s="266"/>
      <c r="G155" s="266"/>
      <c r="H155" s="339"/>
      <c r="I155" s="410"/>
      <c r="J155" s="626"/>
    </row>
    <row r="156" spans="1:10" ht="14.25">
      <c r="A156" s="96" t="s">
        <v>43</v>
      </c>
      <c r="B156" s="463" t="s">
        <v>1150</v>
      </c>
      <c r="C156" s="479"/>
      <c r="D156" s="100" t="s">
        <v>698</v>
      </c>
      <c r="E156" s="44" t="s">
        <v>838</v>
      </c>
      <c r="F156" s="44" t="s">
        <v>838</v>
      </c>
      <c r="G156" s="44" t="s">
        <v>838</v>
      </c>
      <c r="H156" s="60" t="s">
        <v>838</v>
      </c>
      <c r="I156" s="44" t="s">
        <v>838</v>
      </c>
      <c r="J156" s="620"/>
    </row>
    <row r="157" spans="1:10" ht="14.25">
      <c r="A157" s="96" t="s">
        <v>44</v>
      </c>
      <c r="B157" s="463" t="s">
        <v>662</v>
      </c>
      <c r="C157" s="480"/>
      <c r="D157" s="100" t="s">
        <v>59</v>
      </c>
      <c r="E157" s="819"/>
      <c r="F157" s="819"/>
      <c r="G157" s="819"/>
      <c r="H157" s="814">
        <f>_xlfn.IFERROR(_xlfn.AVERAGEIF(E157:G157,"&gt;0",E157:G157),0)</f>
        <v>0</v>
      </c>
      <c r="I157" s="313"/>
      <c r="J157" s="620"/>
    </row>
    <row r="158" spans="1:10" ht="14.25">
      <c r="A158" s="96" t="s">
        <v>45</v>
      </c>
      <c r="B158" s="463" t="s">
        <v>181</v>
      </c>
      <c r="C158" s="90" t="s">
        <v>111</v>
      </c>
      <c r="D158" s="100" t="s">
        <v>100</v>
      </c>
      <c r="E158" s="313">
        <v>0</v>
      </c>
      <c r="F158" s="313">
        <v>0</v>
      </c>
      <c r="G158" s="313">
        <v>0</v>
      </c>
      <c r="H158" s="371">
        <f>AVERAGEA(E158:G158)</f>
        <v>0</v>
      </c>
      <c r="I158" s="313"/>
      <c r="J158" s="620"/>
    </row>
    <row r="159" spans="1:10" ht="14.25">
      <c r="A159" s="96" t="s">
        <v>46</v>
      </c>
      <c r="B159" s="89" t="s">
        <v>263</v>
      </c>
      <c r="C159" s="90" t="s">
        <v>111</v>
      </c>
      <c r="D159" s="92" t="s">
        <v>3</v>
      </c>
      <c r="E159" s="367"/>
      <c r="F159" s="367"/>
      <c r="G159" s="367"/>
      <c r="H159" s="371">
        <f>_xlfn.IFERROR(_xlfn.AVERAGEIF(E159:G159,"&gt;0",E159:G159),0)</f>
        <v>0</v>
      </c>
      <c r="I159" s="313"/>
      <c r="J159" s="620"/>
    </row>
    <row r="160" spans="1:10" ht="14.25">
      <c r="A160" s="96" t="s">
        <v>47</v>
      </c>
      <c r="B160" s="89" t="s">
        <v>753</v>
      </c>
      <c r="C160" s="90"/>
      <c r="D160" s="92" t="s">
        <v>261</v>
      </c>
      <c r="E160" s="367"/>
      <c r="F160" s="367"/>
      <c r="G160" s="367"/>
      <c r="H160" s="371">
        <f>_xlfn.IFERROR(_xlfn.AVERAGEIF(E160:G160,"&gt;0",E160:G160),0)</f>
        <v>0</v>
      </c>
      <c r="I160" s="313"/>
      <c r="J160" s="620"/>
    </row>
    <row r="161" spans="1:10" ht="14.25">
      <c r="A161" s="96" t="s">
        <v>48</v>
      </c>
      <c r="B161" s="89" t="s">
        <v>288</v>
      </c>
      <c r="C161" s="90" t="s">
        <v>111</v>
      </c>
      <c r="D161" s="92" t="s">
        <v>161</v>
      </c>
      <c r="E161" s="313">
        <v>0</v>
      </c>
      <c r="F161" s="313">
        <v>0</v>
      </c>
      <c r="G161" s="313">
        <v>0</v>
      </c>
      <c r="H161" s="371">
        <f>AVERAGEA(E161:G161)</f>
        <v>0</v>
      </c>
      <c r="I161" s="313"/>
      <c r="J161" s="620"/>
    </row>
    <row r="162" spans="1:10" ht="14.25">
      <c r="A162" s="96" t="s">
        <v>49</v>
      </c>
      <c r="B162" s="89" t="s">
        <v>1268</v>
      </c>
      <c r="C162" s="90" t="s">
        <v>111</v>
      </c>
      <c r="D162" s="92" t="s">
        <v>161</v>
      </c>
      <c r="E162" s="313">
        <v>0</v>
      </c>
      <c r="F162" s="313">
        <v>0</v>
      </c>
      <c r="G162" s="313">
        <v>0</v>
      </c>
      <c r="H162" s="371">
        <f>AVERAGEA(E162:G162)</f>
        <v>0</v>
      </c>
      <c r="I162" s="313"/>
      <c r="J162" s="620"/>
    </row>
    <row r="163" spans="1:10" ht="28.5">
      <c r="A163" s="96" t="s">
        <v>50</v>
      </c>
      <c r="B163" s="89" t="s">
        <v>1219</v>
      </c>
      <c r="C163" s="90" t="s">
        <v>111</v>
      </c>
      <c r="D163" s="92" t="s">
        <v>161</v>
      </c>
      <c r="E163" s="367"/>
      <c r="F163" s="367"/>
      <c r="G163" s="367"/>
      <c r="H163" s="371">
        <f>_xlfn.IFERROR(_xlfn.AVERAGEIF(E163:G163,"&gt;0",E163:G163),0)</f>
        <v>0</v>
      </c>
      <c r="I163" s="313"/>
      <c r="J163" s="620"/>
    </row>
    <row r="164" spans="1:10" ht="28.5">
      <c r="A164" s="96" t="s">
        <v>101</v>
      </c>
      <c r="B164" s="89" t="s">
        <v>1100</v>
      </c>
      <c r="C164" s="90" t="s">
        <v>111</v>
      </c>
      <c r="D164" s="92" t="s">
        <v>161</v>
      </c>
      <c r="E164" s="367"/>
      <c r="F164" s="367"/>
      <c r="G164" s="367"/>
      <c r="H164" s="371">
        <f>_xlfn.IFERROR(_xlfn.AVERAGEIF(E164:G164,"&gt;0",E164:G164),0)</f>
        <v>0</v>
      </c>
      <c r="I164" s="313"/>
      <c r="J164" s="620"/>
    </row>
    <row r="165" spans="1:10" ht="29.25" thickBot="1">
      <c r="A165" s="96" t="s">
        <v>102</v>
      </c>
      <c r="B165" s="89" t="s">
        <v>1101</v>
      </c>
      <c r="C165" s="90" t="s">
        <v>111</v>
      </c>
      <c r="D165" s="92" t="s">
        <v>161</v>
      </c>
      <c r="E165" s="367"/>
      <c r="F165" s="367"/>
      <c r="G165" s="367"/>
      <c r="H165" s="371">
        <f>_xlfn.IFERROR(_xlfn.AVERAGEIF(E165:G165,"&gt;0",E165:G165),0)</f>
        <v>0</v>
      </c>
      <c r="I165" s="313"/>
      <c r="J165" s="620"/>
    </row>
    <row r="166" spans="1:10" ht="39" customHeight="1" thickBot="1">
      <c r="A166" s="39" t="s">
        <v>103</v>
      </c>
      <c r="B166" s="40" t="s">
        <v>1255</v>
      </c>
      <c r="C166" s="54" t="s">
        <v>1390</v>
      </c>
      <c r="D166" s="39" t="s">
        <v>59</v>
      </c>
      <c r="E166" s="41">
        <f>_xlfn.IFERROR(E158*100/E161,0)</f>
        <v>0</v>
      </c>
      <c r="F166" s="41">
        <f>_xlfn.IFERROR(F158*100/F161,0)</f>
        <v>0</v>
      </c>
      <c r="G166" s="41">
        <f>_xlfn.IFERROR(G158*100/G161,0)</f>
        <v>0</v>
      </c>
      <c r="H166" s="41">
        <f>_xlfn.IFERROR(H158*100/H161,0)</f>
        <v>0</v>
      </c>
      <c r="I166" s="41">
        <f>_xlfn.IFERROR(I158*100/I161,0)</f>
        <v>0</v>
      </c>
      <c r="J166" s="359"/>
    </row>
    <row r="167" spans="1:10" ht="29.25" thickBot="1">
      <c r="A167" s="39" t="s">
        <v>893</v>
      </c>
      <c r="B167" s="40" t="s">
        <v>747</v>
      </c>
      <c r="C167" s="54" t="s">
        <v>1391</v>
      </c>
      <c r="D167" s="39"/>
      <c r="E167" s="41">
        <f>_xlfn.IFERROR((E162-E163)/E162,0)</f>
        <v>0</v>
      </c>
      <c r="F167" s="41">
        <f>_xlfn.IFERROR((F162-F163)/F162,0)</f>
        <v>0</v>
      </c>
      <c r="G167" s="41">
        <f>_xlfn.IFERROR((G162-G163)/G162,0)</f>
        <v>0</v>
      </c>
      <c r="H167" s="41">
        <f>_xlfn.IFERROR((H162-H163)/H162,0)</f>
        <v>0</v>
      </c>
      <c r="I167" s="41">
        <f>_xlfn.IFERROR((I162-I163)/I162,0)</f>
        <v>0</v>
      </c>
      <c r="J167" s="359"/>
    </row>
    <row r="168" spans="1:10" ht="42" thickBot="1">
      <c r="A168" s="39" t="s">
        <v>1158</v>
      </c>
      <c r="B168" s="40" t="s">
        <v>1269</v>
      </c>
      <c r="C168" s="792" t="s">
        <v>1569</v>
      </c>
      <c r="D168" s="39" t="s">
        <v>3</v>
      </c>
      <c r="E168" s="41">
        <f>_xlfn.IFERROR(E158*100*100/(E157*E162*E167),0)</f>
        <v>0</v>
      </c>
      <c r="F168" s="41">
        <f>_xlfn.IFERROR(F158*100*100/(F157*F162*F167),0)</f>
        <v>0</v>
      </c>
      <c r="G168" s="41">
        <f>_xlfn.IFERROR(G158*100*100/(G157*G162*G167),0)</f>
        <v>0</v>
      </c>
      <c r="H168" s="41">
        <f>_xlfn.IFERROR((E168*E158+F168*F158+G168*G158)/(E158+F158+G158),0)</f>
        <v>0</v>
      </c>
      <c r="I168" s="41">
        <f>_xlfn.IFERROR(I158*100*100/(I157*I162*I167),0)</f>
        <v>0</v>
      </c>
      <c r="J168" s="359"/>
    </row>
    <row r="169" spans="1:10" ht="29.25" thickBot="1">
      <c r="A169" s="58" t="s">
        <v>1172</v>
      </c>
      <c r="B169" s="311" t="s">
        <v>751</v>
      </c>
      <c r="C169" s="307" t="s">
        <v>1392</v>
      </c>
      <c r="D169" s="58" t="s">
        <v>3</v>
      </c>
      <c r="E169" s="351">
        <f>_xlfn.IFERROR(E165*100/(E164+E165),0)</f>
        <v>0</v>
      </c>
      <c r="F169" s="351">
        <f>_xlfn.IFERROR(F165*100/(F164+F165),0)</f>
        <v>0</v>
      </c>
      <c r="G169" s="351">
        <f>_xlfn.IFERROR(G165*100/(G164+G165),0)</f>
        <v>0</v>
      </c>
      <c r="H169" s="351">
        <f>_xlfn.IFERROR(H165*100/(H164+H165),0)</f>
        <v>0</v>
      </c>
      <c r="I169" s="351">
        <f>_xlfn.IFERROR(I165*100/(I164+I165),0)</f>
        <v>0</v>
      </c>
      <c r="J169" s="356"/>
    </row>
    <row r="170" spans="1:10" ht="14.25">
      <c r="A170" s="555"/>
      <c r="B170" s="617"/>
      <c r="C170" s="781"/>
      <c r="D170" s="300"/>
      <c r="E170" s="323"/>
      <c r="F170" s="323"/>
      <c r="G170" s="323"/>
      <c r="H170" s="323"/>
      <c r="I170" s="323"/>
      <c r="J170" s="639"/>
    </row>
    <row r="171" spans="1:10" ht="14.25">
      <c r="A171" s="477" t="s">
        <v>1251</v>
      </c>
      <c r="B171" s="478" t="s">
        <v>1252</v>
      </c>
      <c r="C171" s="780"/>
      <c r="D171" s="473"/>
      <c r="E171" s="266"/>
      <c r="F171" s="266"/>
      <c r="G171" s="266"/>
      <c r="H171" s="339"/>
      <c r="I171" s="410"/>
      <c r="J171" s="626"/>
    </row>
    <row r="172" spans="1:10" ht="14.25">
      <c r="A172" s="96" t="s">
        <v>43</v>
      </c>
      <c r="B172" s="463" t="s">
        <v>1150</v>
      </c>
      <c r="C172" s="479"/>
      <c r="D172" s="100" t="s">
        <v>698</v>
      </c>
      <c r="E172" s="44" t="s">
        <v>838</v>
      </c>
      <c r="F172" s="44" t="s">
        <v>838</v>
      </c>
      <c r="G172" s="44" t="s">
        <v>838</v>
      </c>
      <c r="H172" s="60" t="s">
        <v>838</v>
      </c>
      <c r="I172" s="44" t="s">
        <v>838</v>
      </c>
      <c r="J172" s="620"/>
    </row>
    <row r="173" spans="1:10" ht="14.25">
      <c r="A173" s="96" t="s">
        <v>44</v>
      </c>
      <c r="B173" s="463" t="s">
        <v>662</v>
      </c>
      <c r="C173" s="480"/>
      <c r="D173" s="100" t="s">
        <v>59</v>
      </c>
      <c r="E173" s="819"/>
      <c r="F173" s="819"/>
      <c r="G173" s="819"/>
      <c r="H173" s="371">
        <f>_xlfn.IFERROR(_xlfn.AVERAGEIF(E173:G173,"&gt;0",E173:G173),0)</f>
        <v>0</v>
      </c>
      <c r="I173" s="313"/>
      <c r="J173" s="620"/>
    </row>
    <row r="174" spans="1:10" ht="14.25">
      <c r="A174" s="96" t="s">
        <v>45</v>
      </c>
      <c r="B174" s="463" t="s">
        <v>181</v>
      </c>
      <c r="C174" s="90" t="s">
        <v>111</v>
      </c>
      <c r="D174" s="100" t="s">
        <v>100</v>
      </c>
      <c r="E174" s="313">
        <v>0</v>
      </c>
      <c r="F174" s="313">
        <v>0</v>
      </c>
      <c r="G174" s="313">
        <v>0</v>
      </c>
      <c r="H174" s="371">
        <f>AVERAGEA(E174:G174)</f>
        <v>0</v>
      </c>
      <c r="I174" s="313"/>
      <c r="J174" s="620"/>
    </row>
    <row r="175" spans="1:10" ht="14.25">
      <c r="A175" s="96" t="s">
        <v>46</v>
      </c>
      <c r="B175" s="89" t="s">
        <v>263</v>
      </c>
      <c r="C175" s="90" t="s">
        <v>111</v>
      </c>
      <c r="D175" s="92" t="s">
        <v>3</v>
      </c>
      <c r="E175" s="367"/>
      <c r="F175" s="367"/>
      <c r="G175" s="367"/>
      <c r="H175" s="371">
        <f>_xlfn.IFERROR(_xlfn.AVERAGEIF(E175:G175,"&gt;0",E175:G175),0)</f>
        <v>0</v>
      </c>
      <c r="I175" s="313"/>
      <c r="J175" s="620"/>
    </row>
    <row r="176" spans="1:10" ht="14.25">
      <c r="A176" s="96" t="s">
        <v>47</v>
      </c>
      <c r="B176" s="89" t="s">
        <v>753</v>
      </c>
      <c r="C176" s="90"/>
      <c r="D176" s="92" t="s">
        <v>261</v>
      </c>
      <c r="E176" s="367"/>
      <c r="F176" s="367"/>
      <c r="G176" s="367"/>
      <c r="H176" s="371">
        <f>_xlfn.IFERROR(_xlfn.AVERAGEIF(E176:G176,"&gt;0",E176:G176),0)</f>
        <v>0</v>
      </c>
      <c r="I176" s="313"/>
      <c r="J176" s="620"/>
    </row>
    <row r="177" spans="1:10" ht="14.25">
      <c r="A177" s="96" t="s">
        <v>48</v>
      </c>
      <c r="B177" s="89" t="s">
        <v>288</v>
      </c>
      <c r="C177" s="90" t="s">
        <v>111</v>
      </c>
      <c r="D177" s="92" t="s">
        <v>161</v>
      </c>
      <c r="E177" s="313">
        <v>0</v>
      </c>
      <c r="F177" s="313">
        <v>0</v>
      </c>
      <c r="G177" s="313">
        <v>0</v>
      </c>
      <c r="H177" s="371">
        <f>AVERAGEA(E177:G177)</f>
        <v>0</v>
      </c>
      <c r="I177" s="313"/>
      <c r="J177" s="620"/>
    </row>
    <row r="178" spans="1:10" ht="14.25">
      <c r="A178" s="96" t="s">
        <v>49</v>
      </c>
      <c r="B178" s="89" t="s">
        <v>1268</v>
      </c>
      <c r="C178" s="90" t="s">
        <v>111</v>
      </c>
      <c r="D178" s="92" t="s">
        <v>161</v>
      </c>
      <c r="E178" s="313">
        <v>0</v>
      </c>
      <c r="F178" s="313">
        <v>0</v>
      </c>
      <c r="G178" s="313">
        <v>0</v>
      </c>
      <c r="H178" s="371">
        <f>AVERAGEA(E178:G178)</f>
        <v>0</v>
      </c>
      <c r="I178" s="313"/>
      <c r="J178" s="620"/>
    </row>
    <row r="179" spans="1:10" ht="28.5">
      <c r="A179" s="96" t="s">
        <v>50</v>
      </c>
      <c r="B179" s="89" t="s">
        <v>1219</v>
      </c>
      <c r="C179" s="90" t="s">
        <v>111</v>
      </c>
      <c r="D179" s="92" t="s">
        <v>161</v>
      </c>
      <c r="E179" s="367"/>
      <c r="F179" s="367"/>
      <c r="G179" s="367"/>
      <c r="H179" s="371">
        <f>_xlfn.IFERROR(_xlfn.AVERAGEIF(E179:G179,"&gt;0",E179:G179),0)</f>
        <v>0</v>
      </c>
      <c r="I179" s="313"/>
      <c r="J179" s="620"/>
    </row>
    <row r="180" spans="1:10" ht="28.5">
      <c r="A180" s="96" t="s">
        <v>101</v>
      </c>
      <c r="B180" s="89" t="s">
        <v>1100</v>
      </c>
      <c r="C180" s="90" t="s">
        <v>111</v>
      </c>
      <c r="D180" s="92" t="s">
        <v>161</v>
      </c>
      <c r="E180" s="367"/>
      <c r="F180" s="367"/>
      <c r="G180" s="367"/>
      <c r="H180" s="371">
        <f>_xlfn.IFERROR(_xlfn.AVERAGEIF(E180:G180,"&gt;0",E180:G180),0)</f>
        <v>0</v>
      </c>
      <c r="I180" s="313"/>
      <c r="J180" s="620"/>
    </row>
    <row r="181" spans="1:10" ht="29.25" thickBot="1">
      <c r="A181" s="96" t="s">
        <v>102</v>
      </c>
      <c r="B181" s="89" t="s">
        <v>1101</v>
      </c>
      <c r="C181" s="90" t="s">
        <v>111</v>
      </c>
      <c r="D181" s="92" t="s">
        <v>161</v>
      </c>
      <c r="E181" s="367"/>
      <c r="F181" s="367"/>
      <c r="G181" s="367"/>
      <c r="H181" s="371">
        <f>_xlfn.IFERROR(_xlfn.AVERAGEIF(E181:G181,"&gt;0",E181:G181),0)</f>
        <v>0</v>
      </c>
      <c r="I181" s="313"/>
      <c r="J181" s="620"/>
    </row>
    <row r="182" spans="1:10" ht="32.25" customHeight="1" thickBot="1">
      <c r="A182" s="39" t="s">
        <v>103</v>
      </c>
      <c r="B182" s="40" t="s">
        <v>1255</v>
      </c>
      <c r="C182" s="54" t="s">
        <v>1393</v>
      </c>
      <c r="D182" s="39" t="s">
        <v>59</v>
      </c>
      <c r="E182" s="41">
        <f>_xlfn.IFERROR(E174*100/E177,0)</f>
        <v>0</v>
      </c>
      <c r="F182" s="41">
        <f>_xlfn.IFERROR(F174*100/F177,0)</f>
        <v>0</v>
      </c>
      <c r="G182" s="41">
        <f>_xlfn.IFERROR(G174*100/G177,0)</f>
        <v>0</v>
      </c>
      <c r="H182" s="41">
        <f>_xlfn.IFERROR(H174*100/H177,0)</f>
        <v>0</v>
      </c>
      <c r="I182" s="41">
        <f>_xlfn.IFERROR(I174*100/I177,0)</f>
        <v>0</v>
      </c>
      <c r="J182" s="359"/>
    </row>
    <row r="183" spans="1:10" ht="29.25" thickBot="1">
      <c r="A183" s="39" t="s">
        <v>893</v>
      </c>
      <c r="B183" s="40" t="s">
        <v>747</v>
      </c>
      <c r="C183" s="54" t="s">
        <v>1394</v>
      </c>
      <c r="D183" s="39"/>
      <c r="E183" s="41">
        <f>_xlfn.IFERROR((E178-E179)/E178,0)</f>
        <v>0</v>
      </c>
      <c r="F183" s="41">
        <f>_xlfn.IFERROR((F178-F179)/F178,0)</f>
        <v>0</v>
      </c>
      <c r="G183" s="41">
        <f>_xlfn.IFERROR((G178-G179)/G178,0)</f>
        <v>0</v>
      </c>
      <c r="H183" s="41">
        <f>_xlfn.IFERROR((H178-H179)/H178,0)</f>
        <v>0</v>
      </c>
      <c r="I183" s="41">
        <f>_xlfn.IFERROR((I178-I179)/I178,0)</f>
        <v>0</v>
      </c>
      <c r="J183" s="359"/>
    </row>
    <row r="184" spans="1:10" ht="42" thickBot="1">
      <c r="A184" s="39" t="s">
        <v>1158</v>
      </c>
      <c r="B184" s="40" t="s">
        <v>1269</v>
      </c>
      <c r="C184" s="792" t="s">
        <v>1570</v>
      </c>
      <c r="D184" s="39" t="s">
        <v>3</v>
      </c>
      <c r="E184" s="41">
        <f>_xlfn.IFERROR(E174*100*100/(E173*E178*E183),0)</f>
        <v>0</v>
      </c>
      <c r="F184" s="41">
        <f>_xlfn.IFERROR(F174*100*100/(F173*F178*F183),0)</f>
        <v>0</v>
      </c>
      <c r="G184" s="41">
        <f>_xlfn.IFERROR(G174*100*100/(G173*G178*G183),0)</f>
        <v>0</v>
      </c>
      <c r="H184" s="41">
        <f>_xlfn.IFERROR((E184*E174+F184*F174+G184*G174)/(E174+F174+G174),0)</f>
        <v>0</v>
      </c>
      <c r="I184" s="41">
        <f>_xlfn.IFERROR(I174*100*100/(I173*I178*I183),0)</f>
        <v>0</v>
      </c>
      <c r="J184" s="359"/>
    </row>
    <row r="185" spans="1:10" ht="29.25" thickBot="1">
      <c r="A185" s="58" t="s">
        <v>1172</v>
      </c>
      <c r="B185" s="311" t="s">
        <v>751</v>
      </c>
      <c r="C185" s="307" t="s">
        <v>1395</v>
      </c>
      <c r="D185" s="58" t="s">
        <v>3</v>
      </c>
      <c r="E185" s="351">
        <f>_xlfn.IFERROR(E181*100/(E180+E181),0)</f>
        <v>0</v>
      </c>
      <c r="F185" s="351">
        <f>_xlfn.IFERROR(F181*100/(F180+F181),0)</f>
        <v>0</v>
      </c>
      <c r="G185" s="351">
        <f>_xlfn.IFERROR(G181*100/(G180+G181),0)</f>
        <v>0</v>
      </c>
      <c r="H185" s="351">
        <f>_xlfn.IFERROR(H181*100/(H180+H181),0)</f>
        <v>0</v>
      </c>
      <c r="I185" s="351">
        <f>_xlfn.IFERROR(I181*100/(I180+I181),0)</f>
        <v>0</v>
      </c>
      <c r="J185" s="356"/>
    </row>
    <row r="186" spans="1:10" ht="14.25">
      <c r="A186" s="555"/>
      <c r="B186" s="617"/>
      <c r="C186" s="781"/>
      <c r="D186" s="300"/>
      <c r="E186" s="323"/>
      <c r="F186" s="323"/>
      <c r="G186" s="323"/>
      <c r="H186" s="323"/>
      <c r="I186" s="323"/>
      <c r="J186" s="639"/>
    </row>
    <row r="187" spans="1:10" ht="14.25">
      <c r="A187" s="477" t="s">
        <v>1254</v>
      </c>
      <c r="B187" s="478" t="s">
        <v>1264</v>
      </c>
      <c r="C187" s="780"/>
      <c r="D187" s="473"/>
      <c r="E187" s="266"/>
      <c r="F187" s="266"/>
      <c r="G187" s="266"/>
      <c r="H187" s="339"/>
      <c r="I187" s="410"/>
      <c r="J187" s="626"/>
    </row>
    <row r="188" spans="1:10" ht="14.25">
      <c r="A188" s="96" t="s">
        <v>43</v>
      </c>
      <c r="B188" s="463" t="s">
        <v>1150</v>
      </c>
      <c r="C188" s="479"/>
      <c r="D188" s="100" t="s">
        <v>698</v>
      </c>
      <c r="E188" s="44" t="s">
        <v>838</v>
      </c>
      <c r="F188" s="44" t="s">
        <v>838</v>
      </c>
      <c r="G188" s="44" t="s">
        <v>838</v>
      </c>
      <c r="H188" s="60" t="s">
        <v>838</v>
      </c>
      <c r="I188" s="44" t="s">
        <v>838</v>
      </c>
      <c r="J188" s="620"/>
    </row>
    <row r="189" spans="1:10" ht="14.25">
      <c r="A189" s="96" t="s">
        <v>44</v>
      </c>
      <c r="B189" s="463" t="s">
        <v>662</v>
      </c>
      <c r="C189" s="480"/>
      <c r="D189" s="100" t="s">
        <v>59</v>
      </c>
      <c r="E189" s="819"/>
      <c r="F189" s="819"/>
      <c r="G189" s="819"/>
      <c r="H189" s="814">
        <f>_xlfn.IFERROR(_xlfn.AVERAGEIF(E189:G189,"&gt;0",E189:G189),0)</f>
        <v>0</v>
      </c>
      <c r="I189" s="313"/>
      <c r="J189" s="620"/>
    </row>
    <row r="190" spans="1:10" ht="14.25">
      <c r="A190" s="96" t="s">
        <v>45</v>
      </c>
      <c r="B190" s="463" t="s">
        <v>181</v>
      </c>
      <c r="C190" s="90" t="s">
        <v>111</v>
      </c>
      <c r="D190" s="100" t="s">
        <v>100</v>
      </c>
      <c r="E190" s="313">
        <v>0</v>
      </c>
      <c r="F190" s="313">
        <v>0</v>
      </c>
      <c r="G190" s="313">
        <v>0</v>
      </c>
      <c r="H190" s="371">
        <f>AVERAGEA(E190:G190)</f>
        <v>0</v>
      </c>
      <c r="I190" s="313"/>
      <c r="J190" s="620"/>
    </row>
    <row r="191" spans="1:10" ht="14.25">
      <c r="A191" s="96" t="s">
        <v>46</v>
      </c>
      <c r="B191" s="89" t="s">
        <v>263</v>
      </c>
      <c r="C191" s="90" t="s">
        <v>111</v>
      </c>
      <c r="D191" s="92" t="s">
        <v>3</v>
      </c>
      <c r="E191" s="367"/>
      <c r="F191" s="367"/>
      <c r="G191" s="367"/>
      <c r="H191" s="371">
        <f>_xlfn.IFERROR(_xlfn.AVERAGEIF(E191:G191,"&gt;0",E191:G191),0)</f>
        <v>0</v>
      </c>
      <c r="I191" s="313"/>
      <c r="J191" s="620"/>
    </row>
    <row r="192" spans="1:10" ht="14.25">
      <c r="A192" s="96" t="s">
        <v>47</v>
      </c>
      <c r="B192" s="89" t="s">
        <v>753</v>
      </c>
      <c r="C192" s="90"/>
      <c r="D192" s="92" t="s">
        <v>261</v>
      </c>
      <c r="E192" s="367"/>
      <c r="F192" s="367"/>
      <c r="G192" s="367"/>
      <c r="H192" s="371">
        <f>_xlfn.IFERROR(_xlfn.AVERAGEIF(E192:G192,"&gt;0",E192:G192),0)</f>
        <v>0</v>
      </c>
      <c r="I192" s="313"/>
      <c r="J192" s="620"/>
    </row>
    <row r="193" spans="1:10" ht="14.25">
      <c r="A193" s="96" t="s">
        <v>48</v>
      </c>
      <c r="B193" s="89" t="s">
        <v>288</v>
      </c>
      <c r="C193" s="90" t="s">
        <v>111</v>
      </c>
      <c r="D193" s="92" t="s">
        <v>161</v>
      </c>
      <c r="E193" s="313">
        <v>0</v>
      </c>
      <c r="F193" s="313">
        <v>0</v>
      </c>
      <c r="G193" s="313">
        <v>0</v>
      </c>
      <c r="H193" s="371">
        <f>AVERAGEA(E193:G193)</f>
        <v>0</v>
      </c>
      <c r="I193" s="313"/>
      <c r="J193" s="620"/>
    </row>
    <row r="194" spans="1:10" ht="14.25">
      <c r="A194" s="96" t="s">
        <v>49</v>
      </c>
      <c r="B194" s="89" t="s">
        <v>1268</v>
      </c>
      <c r="C194" s="90" t="s">
        <v>111</v>
      </c>
      <c r="D194" s="92" t="s">
        <v>161</v>
      </c>
      <c r="E194" s="313">
        <v>0</v>
      </c>
      <c r="F194" s="313">
        <v>0</v>
      </c>
      <c r="G194" s="313">
        <v>0</v>
      </c>
      <c r="H194" s="371">
        <f>AVERAGEA(E194:G194)</f>
        <v>0</v>
      </c>
      <c r="I194" s="313"/>
      <c r="J194" s="620"/>
    </row>
    <row r="195" spans="1:10" ht="28.5">
      <c r="A195" s="96" t="s">
        <v>50</v>
      </c>
      <c r="B195" s="89" t="s">
        <v>1219</v>
      </c>
      <c r="C195" s="90" t="s">
        <v>111</v>
      </c>
      <c r="D195" s="92" t="s">
        <v>161</v>
      </c>
      <c r="E195" s="367"/>
      <c r="F195" s="367"/>
      <c r="G195" s="367"/>
      <c r="H195" s="371">
        <f>_xlfn.IFERROR(_xlfn.AVERAGEIF(E195:G195,"&gt;0",E195:G195),0)</f>
        <v>0</v>
      </c>
      <c r="I195" s="313"/>
      <c r="J195" s="620"/>
    </row>
    <row r="196" spans="1:10" ht="28.5">
      <c r="A196" s="96" t="s">
        <v>101</v>
      </c>
      <c r="B196" s="89" t="s">
        <v>1100</v>
      </c>
      <c r="C196" s="90" t="s">
        <v>111</v>
      </c>
      <c r="D196" s="92" t="s">
        <v>161</v>
      </c>
      <c r="E196" s="367"/>
      <c r="F196" s="367"/>
      <c r="G196" s="367"/>
      <c r="H196" s="371">
        <f>_xlfn.IFERROR(_xlfn.AVERAGEIF(E196:G196,"&gt;0",E196:G196),0)</f>
        <v>0</v>
      </c>
      <c r="I196" s="313"/>
      <c r="J196" s="620"/>
    </row>
    <row r="197" spans="1:10" ht="29.25" thickBot="1">
      <c r="A197" s="96" t="s">
        <v>102</v>
      </c>
      <c r="B197" s="89" t="s">
        <v>1101</v>
      </c>
      <c r="C197" s="90" t="s">
        <v>111</v>
      </c>
      <c r="D197" s="92" t="s">
        <v>161</v>
      </c>
      <c r="E197" s="367"/>
      <c r="F197" s="367"/>
      <c r="G197" s="367"/>
      <c r="H197" s="371">
        <f>_xlfn.IFERROR(_xlfn.AVERAGEIF(E197:G197,"&gt;0",E197:G197),0)</f>
        <v>0</v>
      </c>
      <c r="I197" s="313"/>
      <c r="J197" s="620"/>
    </row>
    <row r="198" spans="1:10" ht="33" customHeight="1" thickBot="1">
      <c r="A198" s="39" t="s">
        <v>103</v>
      </c>
      <c r="B198" s="40" t="s">
        <v>1255</v>
      </c>
      <c r="C198" s="54" t="s">
        <v>1396</v>
      </c>
      <c r="D198" s="39" t="s">
        <v>59</v>
      </c>
      <c r="E198" s="41">
        <f>_xlfn.IFERROR(E190*100/E193,0)</f>
        <v>0</v>
      </c>
      <c r="F198" s="41">
        <f>_xlfn.IFERROR(F190*100/F193,0)</f>
        <v>0</v>
      </c>
      <c r="G198" s="41">
        <f>_xlfn.IFERROR(G190*100/G193,0)</f>
        <v>0</v>
      </c>
      <c r="H198" s="41">
        <f>_xlfn.IFERROR(H190*100/H193,0)</f>
        <v>0</v>
      </c>
      <c r="I198" s="41">
        <f>_xlfn.IFERROR(I190*100/I193,0)</f>
        <v>0</v>
      </c>
      <c r="J198" s="359"/>
    </row>
    <row r="199" spans="1:10" ht="29.25" thickBot="1">
      <c r="A199" s="39" t="s">
        <v>893</v>
      </c>
      <c r="B199" s="40" t="s">
        <v>747</v>
      </c>
      <c r="C199" s="54" t="s">
        <v>1397</v>
      </c>
      <c r="D199" s="39"/>
      <c r="E199" s="41">
        <f>_xlfn.IFERROR((E194-E195)/E194,0)</f>
        <v>0</v>
      </c>
      <c r="F199" s="41">
        <f>_xlfn.IFERROR((F194-F195)/F194,0)</f>
        <v>0</v>
      </c>
      <c r="G199" s="41">
        <f>_xlfn.IFERROR((G194-G195)/G194,0)</f>
        <v>0</v>
      </c>
      <c r="H199" s="41">
        <f>_xlfn.IFERROR((H194-H195)/H194,0)</f>
        <v>0</v>
      </c>
      <c r="I199" s="41">
        <f>_xlfn.IFERROR((I194-I195)/I194,0)</f>
        <v>0</v>
      </c>
      <c r="J199" s="359"/>
    </row>
    <row r="200" spans="1:10" ht="42" thickBot="1">
      <c r="A200" s="39" t="s">
        <v>1158</v>
      </c>
      <c r="B200" s="40" t="s">
        <v>1269</v>
      </c>
      <c r="C200" s="792" t="s">
        <v>1571</v>
      </c>
      <c r="D200" s="39" t="s">
        <v>3</v>
      </c>
      <c r="E200" s="41">
        <f>_xlfn.IFERROR(E190*100*100/(E189*E194*E199),0)</f>
        <v>0</v>
      </c>
      <c r="F200" s="41">
        <f>_xlfn.IFERROR(F190*100*100/(F189*F194*F199),0)</f>
        <v>0</v>
      </c>
      <c r="G200" s="41">
        <f>_xlfn.IFERROR(G190*100*100/(G189*G194*G199),0)</f>
        <v>0</v>
      </c>
      <c r="H200" s="41">
        <f>_xlfn.IFERROR((E200*E190+F200*F190+G200*G190)/(E190+F190+G190),0)</f>
        <v>0</v>
      </c>
      <c r="I200" s="41">
        <f>_xlfn.IFERROR(I190*100*100/(I189*I194*I199),0)</f>
        <v>0</v>
      </c>
      <c r="J200" s="359"/>
    </row>
    <row r="201" spans="1:10" ht="29.25" thickBot="1">
      <c r="A201" s="58" t="s">
        <v>1172</v>
      </c>
      <c r="B201" s="311" t="s">
        <v>751</v>
      </c>
      <c r="C201" s="307" t="s">
        <v>1398</v>
      </c>
      <c r="D201" s="58" t="s">
        <v>3</v>
      </c>
      <c r="E201" s="351">
        <f>_xlfn.IFERROR(E197*100/(E196+E197),0)</f>
        <v>0</v>
      </c>
      <c r="F201" s="351">
        <f>_xlfn.IFERROR(F197*100/(F196+F197),0)</f>
        <v>0</v>
      </c>
      <c r="G201" s="351">
        <f>_xlfn.IFERROR(G197*100/(G196+G197),0)</f>
        <v>0</v>
      </c>
      <c r="H201" s="351">
        <f>_xlfn.IFERROR(H197*100/(H196+H197),0)</f>
        <v>0</v>
      </c>
      <c r="I201" s="351">
        <f>_xlfn.IFERROR(I197*100/(I196+I197),0)</f>
        <v>0</v>
      </c>
      <c r="J201" s="356"/>
    </row>
    <row r="202" spans="1:10" ht="14.25">
      <c r="A202" s="555"/>
      <c r="B202" s="617"/>
      <c r="C202" s="781"/>
      <c r="D202" s="300"/>
      <c r="E202" s="323"/>
      <c r="F202" s="323"/>
      <c r="G202" s="323"/>
      <c r="H202" s="323"/>
      <c r="I202" s="323"/>
      <c r="J202" s="639"/>
    </row>
    <row r="203" spans="1:10" ht="14.25">
      <c r="A203" s="477" t="s">
        <v>1272</v>
      </c>
      <c r="B203" s="478" t="s">
        <v>1253</v>
      </c>
      <c r="C203" s="780"/>
      <c r="D203" s="473"/>
      <c r="E203" s="266"/>
      <c r="F203" s="266"/>
      <c r="G203" s="266"/>
      <c r="H203" s="339"/>
      <c r="I203" s="410"/>
      <c r="J203" s="626"/>
    </row>
    <row r="204" spans="1:10" ht="14.25">
      <c r="A204" s="96" t="s">
        <v>43</v>
      </c>
      <c r="B204" s="463" t="s">
        <v>1150</v>
      </c>
      <c r="C204" s="479"/>
      <c r="D204" s="100" t="s">
        <v>698</v>
      </c>
      <c r="E204" s="44" t="s">
        <v>838</v>
      </c>
      <c r="F204" s="44" t="s">
        <v>838</v>
      </c>
      <c r="G204" s="44" t="s">
        <v>838</v>
      </c>
      <c r="H204" s="60" t="s">
        <v>838</v>
      </c>
      <c r="I204" s="44" t="s">
        <v>838</v>
      </c>
      <c r="J204" s="620"/>
    </row>
    <row r="205" spans="1:10" ht="14.25">
      <c r="A205" s="96" t="s">
        <v>44</v>
      </c>
      <c r="B205" s="463" t="s">
        <v>662</v>
      </c>
      <c r="C205" s="480"/>
      <c r="D205" s="100" t="s">
        <v>59</v>
      </c>
      <c r="E205" s="371">
        <f aca="true" t="shared" si="8" ref="E205:I206">E125+E141+E157+E173+E189</f>
        <v>0</v>
      </c>
      <c r="F205" s="371">
        <f t="shared" si="8"/>
        <v>0</v>
      </c>
      <c r="G205" s="371">
        <f t="shared" si="8"/>
        <v>0</v>
      </c>
      <c r="H205" s="371">
        <f t="shared" si="8"/>
        <v>0</v>
      </c>
      <c r="I205" s="371">
        <f t="shared" si="8"/>
        <v>0</v>
      </c>
      <c r="J205" s="620"/>
    </row>
    <row r="206" spans="1:10" ht="14.25">
      <c r="A206" s="96" t="s">
        <v>45</v>
      </c>
      <c r="B206" s="463" t="s">
        <v>181</v>
      </c>
      <c r="C206" s="90" t="s">
        <v>111</v>
      </c>
      <c r="D206" s="100" t="s">
        <v>100</v>
      </c>
      <c r="E206" s="371">
        <f t="shared" si="8"/>
        <v>0</v>
      </c>
      <c r="F206" s="371">
        <f t="shared" si="8"/>
        <v>0</v>
      </c>
      <c r="G206" s="371">
        <f t="shared" si="8"/>
        <v>0</v>
      </c>
      <c r="H206" s="371">
        <f t="shared" si="8"/>
        <v>0</v>
      </c>
      <c r="I206" s="371">
        <f t="shared" si="8"/>
        <v>0</v>
      </c>
      <c r="J206" s="620"/>
    </row>
    <row r="207" spans="1:10" ht="14.25">
      <c r="A207" s="96" t="s">
        <v>46</v>
      </c>
      <c r="B207" s="89" t="s">
        <v>263</v>
      </c>
      <c r="C207" s="90" t="s">
        <v>111</v>
      </c>
      <c r="D207" s="92" t="s">
        <v>3</v>
      </c>
      <c r="E207" s="371">
        <f>_xlfn.IFERROR((E127*E126+E143*E142+E159*E158+E174*E175+E191*E190)/(E174+E158+E142+E126+E190),0)</f>
        <v>0</v>
      </c>
      <c r="F207" s="371">
        <f>_xlfn.IFERROR((F127*F126+F143*F142+F159*F158+F174*F175+F191*F190)/(F174+F158+F142+F126+F190),0)</f>
        <v>0</v>
      </c>
      <c r="G207" s="371">
        <f>_xlfn.IFERROR((G127*G126+G143*G142+G159*G158+G174*G175+G191*G190)/(G174+G158+G142+G126+G190),0)</f>
        <v>0</v>
      </c>
      <c r="H207" s="371">
        <f>_xlfn.IFERROR((H127*H126+H143*H142+H159*H158+H174*H175+H191*H190)/(H174+H158+H142+H126+H190),0)</f>
        <v>0</v>
      </c>
      <c r="I207" s="371">
        <f>_xlfn.IFERROR((I127*I126+I143*I142+I159*I158+I174*I175+I191*I190)/(I174+I158+I142+I126+I190),0)</f>
        <v>0</v>
      </c>
      <c r="J207" s="620"/>
    </row>
    <row r="208" spans="1:10" ht="14.25">
      <c r="A208" s="96" t="s">
        <v>47</v>
      </c>
      <c r="B208" s="89" t="s">
        <v>753</v>
      </c>
      <c r="C208" s="90"/>
      <c r="D208" s="92" t="s">
        <v>261</v>
      </c>
      <c r="E208" s="371">
        <f>_xlfn.IFERROR((E128*E125+E144*E141+E160*E157+E176*E173+E192*E189)/(E125+E141+E157+E173+E189),0)</f>
        <v>0</v>
      </c>
      <c r="F208" s="371">
        <f>_xlfn.IFERROR((F128*F125+F144*F141+F160*F157+F176*F173+F192*F189)/(F125+F141+F157+F173+F189),0)</f>
        <v>0</v>
      </c>
      <c r="G208" s="371">
        <f>_xlfn.IFERROR((G128*G125+G144*G141+G160*G157+G176*G173+G192*G189)/(G125+G141+G157+G173+G189),0)</f>
        <v>0</v>
      </c>
      <c r="H208" s="371">
        <f>_xlfn.IFERROR((H128*H125+H144*H141+H160*H157+H176*H173+H192*H189)/(H125+H141+H157+H173+H189),0)</f>
        <v>0</v>
      </c>
      <c r="I208" s="371">
        <f>_xlfn.IFERROR((I128*I125+I144*I141+I160*I157+I176*I173+I192*I189)/(I125+I141+I157+I173+I189),0)</f>
        <v>0</v>
      </c>
      <c r="J208" s="620"/>
    </row>
    <row r="209" spans="1:10" ht="15" thickBot="1">
      <c r="A209" s="96" t="s">
        <v>48</v>
      </c>
      <c r="B209" s="89" t="s">
        <v>288</v>
      </c>
      <c r="C209" s="90" t="s">
        <v>111</v>
      </c>
      <c r="D209" s="92" t="s">
        <v>161</v>
      </c>
      <c r="E209" s="371">
        <f>_xlfn.IFERROR((E129*E126+E145*E142+E161*E158+E177*E174+E193*E190)/(E190+E174+E158+E142+E126),0)</f>
        <v>0</v>
      </c>
      <c r="F209" s="371">
        <f>_xlfn.IFERROR((F129*F126+F145*F142+F161*F158+F177*F174+F193*F190)/(F190+F174+F158+F142+F126),0)</f>
        <v>0</v>
      </c>
      <c r="G209" s="371">
        <f>_xlfn.IFERROR((G129*G126+G145*G142+G161*G158+G177*G174+G193*G190)/(G190+G174+G158+G142+G126),0)</f>
        <v>0</v>
      </c>
      <c r="H209" s="371">
        <f>_xlfn.IFERROR((H129*H126+H145*H142+H161*H158+H177*H174+H193*H190)/(H190+H174+H158+H142+H126),0)</f>
        <v>0</v>
      </c>
      <c r="I209" s="371">
        <f>_xlfn.IFERROR((I129*I126+I145*I142+I161*I158+I177*I174+I193*I190)/(I190+I174+I158+I142+I126),0)</f>
        <v>0</v>
      </c>
      <c r="J209" s="620"/>
    </row>
    <row r="210" spans="1:10" ht="30" customHeight="1" thickBot="1">
      <c r="A210" s="96" t="s">
        <v>49</v>
      </c>
      <c r="B210" s="89" t="s">
        <v>1219</v>
      </c>
      <c r="C210" s="90" t="s">
        <v>111</v>
      </c>
      <c r="D210" s="92" t="s">
        <v>161</v>
      </c>
      <c r="E210" s="41">
        <f>_xlfn.IFERROR((E131*E134+E147*E150+E163*E166+E179*E182+E195*E198)/(E198+E182+E166+E150+E134),0)</f>
        <v>0</v>
      </c>
      <c r="F210" s="41">
        <f>_xlfn.IFERROR((F131*F134+F147*F150+F163*F166+F179*F182+F195*F198)/(F198+F182+F166+F150+F134),0)</f>
        <v>0</v>
      </c>
      <c r="G210" s="41">
        <f>_xlfn.IFERROR((G131*G134+G147*G150+G163*G166+G179*G182+G195*G198)/(G198+G182+G166+G150+G134),0)</f>
        <v>0</v>
      </c>
      <c r="H210" s="41">
        <f>_xlfn.IFERROR((H131*H134+H147*H150+H163*H166+H179*H182+H195*H198)/(H198+H182+H166+H150+H134),0)</f>
        <v>0</v>
      </c>
      <c r="I210" s="41">
        <f>_xlfn.IFERROR((I131*I134+I147*I150+I163*I166+I179*I182+I195*I198)/(I198+I182+I166+I150+I134),0)</f>
        <v>0</v>
      </c>
      <c r="J210" s="620"/>
    </row>
    <row r="211" spans="1:10" ht="29.25" thickBot="1">
      <c r="A211" s="96" t="s">
        <v>50</v>
      </c>
      <c r="B211" s="89" t="s">
        <v>1100</v>
      </c>
      <c r="C211" s="90" t="s">
        <v>111</v>
      </c>
      <c r="D211" s="92" t="s">
        <v>161</v>
      </c>
      <c r="E211" s="41">
        <f>_xlfn.IFERROR((E132*E134+E148*E150+E164*E166+E180*E182+E196*E198)/(E198+E182+E166+E150+E134),0)</f>
        <v>0</v>
      </c>
      <c r="F211" s="41">
        <f>_xlfn.IFERROR((F132*F134+F148*F150+F164*F166+F180*F182+F196*F198)/(F198+F182+F166+F150+F134),0)</f>
        <v>0</v>
      </c>
      <c r="G211" s="41">
        <f>_xlfn.IFERROR((G132*G134+G148*G150+G164*G166+G180*G182+G196*G198)/(G198+G182+G166+G150+G134),0)</f>
        <v>0</v>
      </c>
      <c r="H211" s="41">
        <f>_xlfn.IFERROR((H132*H134+H148*H150+H164*H166+H180*H182+H196*H198)/(H198+H182+H166+H150+H134),0)</f>
        <v>0</v>
      </c>
      <c r="I211" s="41">
        <f>_xlfn.IFERROR((I132*I134+I148*I150+I164*I166+I180*I182+I196*I198)/(I198+I182+I166+I150+I134),0)</f>
        <v>0</v>
      </c>
      <c r="J211" s="620"/>
    </row>
    <row r="212" spans="1:10" ht="29.25" thickBot="1">
      <c r="A212" s="96" t="s">
        <v>101</v>
      </c>
      <c r="B212" s="89" t="s">
        <v>1101</v>
      </c>
      <c r="C212" s="90" t="s">
        <v>111</v>
      </c>
      <c r="D212" s="92" t="s">
        <v>161</v>
      </c>
      <c r="E212" s="41">
        <f>_xlfn.IFERROR((E133*E134+E149*E150+E165*E166+E181*E182+E197*E198)/(E198+E182+E166+E150+E134),0)</f>
        <v>0</v>
      </c>
      <c r="F212" s="41">
        <f>_xlfn.IFERROR((F133*F134+F149*F150+F165*F166+F181*F182+F197*F198)/(F198+F182+F166+F150+F134),0)</f>
        <v>0</v>
      </c>
      <c r="G212" s="41">
        <f>_xlfn.IFERROR((G133*G134+G149*G150+G165*G166+G181*G182+G197*G198)/(G198+G182+G166+G150+G134),0)</f>
        <v>0</v>
      </c>
      <c r="H212" s="41">
        <f>_xlfn.IFERROR((H133*H134+H149*H150+H165*H166+H181*H182+H197*H198)/(H198+H182+H166+H150+H134),0)</f>
        <v>0</v>
      </c>
      <c r="I212" s="41">
        <f>_xlfn.IFERROR((I133*I134+I149*I150+I165*I166+I181*I182+I197*I198)/(I198+I182+I166+I150+I134),0)</f>
        <v>0</v>
      </c>
      <c r="J212" s="620"/>
    </row>
    <row r="213" spans="1:10" ht="32.25" customHeight="1" thickBot="1">
      <c r="A213" s="39" t="s">
        <v>103</v>
      </c>
      <c r="B213" s="40" t="s">
        <v>1255</v>
      </c>
      <c r="C213" s="54" t="s">
        <v>1399</v>
      </c>
      <c r="D213" s="39" t="s">
        <v>59</v>
      </c>
      <c r="E213" s="41">
        <f>_xlfn.IFERROR(E206*100/E209,0)</f>
        <v>0</v>
      </c>
      <c r="F213" s="41">
        <f>_xlfn.IFERROR(F206*100/F209,0)</f>
        <v>0</v>
      </c>
      <c r="G213" s="41">
        <f>_xlfn.IFERROR(G206*100/G209,0)</f>
        <v>0</v>
      </c>
      <c r="H213" s="41">
        <f>_xlfn.IFERROR(H206*100/H209,0)</f>
        <v>0</v>
      </c>
      <c r="I213" s="41">
        <f>_xlfn.IFERROR(I206*100/I209,0)</f>
        <v>0</v>
      </c>
      <c r="J213" s="359"/>
    </row>
    <row r="214" spans="1:12" ht="29.25" thickBot="1">
      <c r="A214" s="39" t="s">
        <v>893</v>
      </c>
      <c r="B214" s="40" t="s">
        <v>747</v>
      </c>
      <c r="C214" s="54" t="s">
        <v>1400</v>
      </c>
      <c r="D214" s="39"/>
      <c r="E214" s="41">
        <f>_xlfn.IFERROR((E199*E190+E183*E174+E167*E158+E151*E142+E135*E126)/(E126+E142+E158+E174+E190),0)</f>
        <v>0</v>
      </c>
      <c r="F214" s="41">
        <f>_xlfn.IFERROR((F199*F190+F183*F174+F167*F158+F151*F142+F135*F126)/(F126+F142+F158+F174+F190),0)</f>
        <v>0</v>
      </c>
      <c r="G214" s="41">
        <f>_xlfn.IFERROR((G199*G190+G183*G174+G167*G158+G151*G142+G135*G126)/(G126+G142+G158+G174+G190),0)</f>
        <v>0</v>
      </c>
      <c r="H214" s="41">
        <f>_xlfn.IFERROR((8760-H210)/8760,0)</f>
        <v>1</v>
      </c>
      <c r="I214" s="41">
        <f>_xlfn.IFERROR((I199*I190+I183*I174+I167*I158+I151*I142+I135*I126)/(I126+I142+I158+I174+I190),0)</f>
        <v>0</v>
      </c>
      <c r="J214" s="41"/>
      <c r="K214" s="41"/>
      <c r="L214" s="41"/>
    </row>
    <row r="215" spans="1:12" ht="51" customHeight="1" thickBot="1">
      <c r="A215" s="39" t="s">
        <v>1158</v>
      </c>
      <c r="B215" s="40" t="s">
        <v>237</v>
      </c>
      <c r="C215" s="54" t="s">
        <v>1401</v>
      </c>
      <c r="D215" s="39" t="s">
        <v>3</v>
      </c>
      <c r="E215" s="41">
        <f>_xlfn.IFERROR((E200*E190+E184*E174+E168*E158+E152*E142+E136*E126)/(E126+E142+E158+E174+E190),0)</f>
        <v>0</v>
      </c>
      <c r="F215" s="41">
        <f>_xlfn.IFERROR((F200*F190+F184*F174+F168*F158+F152*F142+F136*F126)/(F126+F142+F158+F174+F190),0)</f>
        <v>0</v>
      </c>
      <c r="G215" s="41">
        <f>_xlfn.IFERROR((G200*G190+G184*G174+G168*G158+G152*G142+G136*G126)/(G126+G142+G158+G174+G190),0)</f>
        <v>0</v>
      </c>
      <c r="H215" s="41">
        <f>_xlfn.IFERROR((H200*H190+H184*H174+H168*H158+H152*H142+H136*H126)/(H126+H142+H158+H174+H190),0)</f>
        <v>0</v>
      </c>
      <c r="I215" s="41">
        <f>_xlfn.IFERROR((I200*I190+I184*I174+I168*I158+I152*I142+I136*I126)/(I126+I142+I158+I174+I190),0)</f>
        <v>0</v>
      </c>
      <c r="J215" s="41"/>
      <c r="K215" s="41"/>
      <c r="L215" s="41"/>
    </row>
    <row r="216" spans="1:12" ht="33" customHeight="1" thickBot="1">
      <c r="A216" s="58" t="s">
        <v>1172</v>
      </c>
      <c r="B216" s="311" t="s">
        <v>751</v>
      </c>
      <c r="C216" s="307" t="s">
        <v>1402</v>
      </c>
      <c r="D216" s="58" t="s">
        <v>3</v>
      </c>
      <c r="E216" s="351">
        <f>_xlfn.IFERROR(E212*100/(E211+E212),0)</f>
        <v>0</v>
      </c>
      <c r="F216" s="351">
        <f>_xlfn.IFERROR(F212*100/(F211+F212),0)</f>
        <v>0</v>
      </c>
      <c r="G216" s="351">
        <f>_xlfn.IFERROR(G212*100/(G211+G212),0)</f>
        <v>0</v>
      </c>
      <c r="H216" s="41">
        <f>_xlfn.IFERROR(H212*100/(H211+H212),0)</f>
        <v>0</v>
      </c>
      <c r="I216" s="41">
        <f>_xlfn.IFERROR(I212*100/(I211+I212),0)</f>
        <v>0</v>
      </c>
      <c r="J216" s="41"/>
      <c r="K216" s="41"/>
      <c r="L216" s="41"/>
    </row>
    <row r="217" spans="1:10" ht="14.25">
      <c r="A217" s="113"/>
      <c r="B217" s="455"/>
      <c r="C217" s="456"/>
      <c r="D217" s="457"/>
      <c r="E217" s="304"/>
      <c r="F217" s="304"/>
      <c r="G217" s="304"/>
      <c r="H217" s="350"/>
      <c r="I217" s="305"/>
      <c r="J217" s="628"/>
    </row>
    <row r="218" spans="1:10" ht="14.25">
      <c r="A218" s="477" t="s">
        <v>315</v>
      </c>
      <c r="B218" s="478" t="s">
        <v>9</v>
      </c>
      <c r="C218" s="780"/>
      <c r="D218" s="473"/>
      <c r="E218" s="266"/>
      <c r="F218" s="266"/>
      <c r="G218" s="266"/>
      <c r="H218" s="339"/>
      <c r="I218" s="410"/>
      <c r="J218" s="626"/>
    </row>
    <row r="219" spans="1:10" ht="14.25">
      <c r="A219" s="96" t="s">
        <v>43</v>
      </c>
      <c r="B219" s="463" t="s">
        <v>662</v>
      </c>
      <c r="C219" s="480"/>
      <c r="D219" s="100" t="s">
        <v>59</v>
      </c>
      <c r="E219" s="819"/>
      <c r="F219" s="819"/>
      <c r="G219" s="819"/>
      <c r="H219" s="371">
        <f>_xlfn.IFERROR(_xlfn.AVERAGEIF(E219:G219,"&gt;0",E219:G219),0)</f>
        <v>0</v>
      </c>
      <c r="I219" s="313"/>
      <c r="J219" s="620"/>
    </row>
    <row r="220" spans="1:10" ht="14.25">
      <c r="A220" s="96" t="s">
        <v>44</v>
      </c>
      <c r="B220" s="463" t="s">
        <v>181</v>
      </c>
      <c r="C220" s="90" t="s">
        <v>111</v>
      </c>
      <c r="D220" s="100" t="s">
        <v>100</v>
      </c>
      <c r="E220" s="313">
        <v>0</v>
      </c>
      <c r="F220" s="313">
        <v>0</v>
      </c>
      <c r="G220" s="313">
        <v>0</v>
      </c>
      <c r="H220" s="371">
        <f>AVERAGEA(E220:G220)</f>
        <v>0</v>
      </c>
      <c r="I220" s="313"/>
      <c r="J220" s="620"/>
    </row>
    <row r="221" spans="1:10" ht="14.25">
      <c r="A221" s="96" t="s">
        <v>45</v>
      </c>
      <c r="B221" s="89" t="s">
        <v>263</v>
      </c>
      <c r="C221" s="90" t="s">
        <v>111</v>
      </c>
      <c r="D221" s="92" t="s">
        <v>3</v>
      </c>
      <c r="E221" s="367"/>
      <c r="F221" s="367"/>
      <c r="G221" s="367"/>
      <c r="H221" s="371">
        <f>_xlfn.IFERROR(_xlfn.AVERAGEIF(E221:G221,"&gt;0",E221:G221),0)</f>
        <v>0</v>
      </c>
      <c r="I221" s="313"/>
      <c r="J221" s="620"/>
    </row>
    <row r="222" spans="1:10" ht="14.25">
      <c r="A222" s="96" t="s">
        <v>46</v>
      </c>
      <c r="B222" s="89" t="s">
        <v>22</v>
      </c>
      <c r="C222" s="90" t="s">
        <v>111</v>
      </c>
      <c r="D222" s="481" t="s">
        <v>261</v>
      </c>
      <c r="E222" s="367"/>
      <c r="F222" s="367"/>
      <c r="G222" s="367"/>
      <c r="H222" s="371">
        <f>_xlfn.IFERROR(_xlfn.AVERAGEIF(E222:G222,"&gt;0",E222:G222),0)</f>
        <v>0</v>
      </c>
      <c r="I222" s="313"/>
      <c r="J222" s="620"/>
    </row>
    <row r="223" spans="1:10" ht="14.25">
      <c r="A223" s="96" t="s">
        <v>47</v>
      </c>
      <c r="B223" s="89" t="s">
        <v>237</v>
      </c>
      <c r="C223" s="90" t="s">
        <v>111</v>
      </c>
      <c r="D223" s="481" t="s">
        <v>3</v>
      </c>
      <c r="E223" s="367"/>
      <c r="F223" s="367"/>
      <c r="G223" s="367"/>
      <c r="H223" s="371">
        <f>_xlfn.IFERROR(_xlfn.AVERAGEIF(E223:G223,"&gt;0",E223:G223),0)</f>
        <v>0</v>
      </c>
      <c r="I223" s="313"/>
      <c r="J223" s="620"/>
    </row>
    <row r="224" spans="1:10" ht="14.25">
      <c r="A224" s="96" t="s">
        <v>48</v>
      </c>
      <c r="B224" s="89" t="s">
        <v>288</v>
      </c>
      <c r="C224" s="90" t="s">
        <v>111</v>
      </c>
      <c r="D224" s="92" t="s">
        <v>161</v>
      </c>
      <c r="E224" s="313">
        <v>0</v>
      </c>
      <c r="F224" s="313">
        <v>0</v>
      </c>
      <c r="G224" s="313">
        <v>0</v>
      </c>
      <c r="H224" s="371">
        <f>AVERAGEA(E224:G224)</f>
        <v>0</v>
      </c>
      <c r="I224" s="313"/>
      <c r="J224" s="620"/>
    </row>
    <row r="225" spans="1:10" ht="14.25">
      <c r="A225" s="96"/>
      <c r="B225" s="89"/>
      <c r="C225" s="90"/>
      <c r="D225" s="92"/>
      <c r="E225" s="783"/>
      <c r="F225" s="783"/>
      <c r="G225" s="783"/>
      <c r="H225" s="60"/>
      <c r="I225" s="45"/>
      <c r="J225" s="630"/>
    </row>
    <row r="226" spans="1:10" ht="14.25">
      <c r="A226" s="477" t="s">
        <v>316</v>
      </c>
      <c r="B226" s="478" t="s">
        <v>104</v>
      </c>
      <c r="C226" s="780"/>
      <c r="D226" s="482"/>
      <c r="E226" s="267"/>
      <c r="F226" s="267"/>
      <c r="G226" s="267"/>
      <c r="H226" s="339"/>
      <c r="I226" s="410"/>
      <c r="J226" s="626"/>
    </row>
    <row r="227" spans="1:10" ht="14.25">
      <c r="A227" s="96" t="s">
        <v>43</v>
      </c>
      <c r="B227" s="89" t="s">
        <v>663</v>
      </c>
      <c r="C227" s="90"/>
      <c r="D227" s="92" t="s">
        <v>59</v>
      </c>
      <c r="E227" s="819"/>
      <c r="F227" s="819"/>
      <c r="G227" s="819"/>
      <c r="H227" s="371">
        <f>_xlfn.IFERROR(_xlfn.AVERAGEIF(E227:G227,"&gt;0",E227:G227),0)</f>
        <v>0</v>
      </c>
      <c r="I227" s="313"/>
      <c r="J227" s="620"/>
    </row>
    <row r="228" spans="1:10" ht="14.25">
      <c r="A228" s="96" t="s">
        <v>44</v>
      </c>
      <c r="B228" s="89" t="s">
        <v>25</v>
      </c>
      <c r="C228" s="90" t="s">
        <v>111</v>
      </c>
      <c r="D228" s="92" t="s">
        <v>100</v>
      </c>
      <c r="E228" s="313">
        <v>0</v>
      </c>
      <c r="F228" s="313">
        <v>0</v>
      </c>
      <c r="G228" s="313">
        <v>0</v>
      </c>
      <c r="H228" s="371">
        <f>AVERAGEA(E228:G228)</f>
        <v>0</v>
      </c>
      <c r="I228" s="313"/>
      <c r="J228" s="620"/>
    </row>
    <row r="229" spans="1:10" ht="14.25">
      <c r="A229" s="96" t="s">
        <v>45</v>
      </c>
      <c r="B229" s="89" t="s">
        <v>105</v>
      </c>
      <c r="C229" s="90" t="s">
        <v>111</v>
      </c>
      <c r="D229" s="92" t="s">
        <v>161</v>
      </c>
      <c r="E229" s="313">
        <v>0</v>
      </c>
      <c r="F229" s="313">
        <v>0</v>
      </c>
      <c r="G229" s="313">
        <v>0</v>
      </c>
      <c r="H229" s="371">
        <f>AVERAGEA(E229:G229)</f>
        <v>0</v>
      </c>
      <c r="I229" s="313"/>
      <c r="J229" s="620"/>
    </row>
    <row r="230" spans="1:10" ht="14.25">
      <c r="A230" s="452"/>
      <c r="B230" s="453"/>
      <c r="C230" s="454"/>
      <c r="D230" s="474"/>
      <c r="E230" s="678"/>
      <c r="F230" s="678"/>
      <c r="G230" s="678"/>
      <c r="H230" s="371"/>
      <c r="I230" s="678"/>
      <c r="J230" s="621"/>
    </row>
    <row r="231" spans="1:10" ht="14.25">
      <c r="A231" s="477" t="s">
        <v>1510</v>
      </c>
      <c r="B231" s="478" t="s">
        <v>1511</v>
      </c>
      <c r="C231" s="780"/>
      <c r="D231" s="482"/>
      <c r="E231" s="267"/>
      <c r="F231" s="267"/>
      <c r="G231" s="267"/>
      <c r="H231" s="339"/>
      <c r="I231" s="410"/>
      <c r="J231" s="626"/>
    </row>
    <row r="232" spans="1:10" ht="14.25">
      <c r="A232" s="96" t="s">
        <v>43</v>
      </c>
      <c r="B232" s="89" t="s">
        <v>1512</v>
      </c>
      <c r="C232" s="90" t="s">
        <v>111</v>
      </c>
      <c r="D232" s="92" t="s">
        <v>59</v>
      </c>
      <c r="E232" s="819"/>
      <c r="F232" s="819"/>
      <c r="G232" s="819"/>
      <c r="H232" s="371">
        <f>_xlfn.IFERROR(_xlfn.AVERAGEIF(E232:G232,"&gt;0",E232:G232),0)</f>
        <v>0</v>
      </c>
      <c r="I232" s="313"/>
      <c r="J232" s="620"/>
    </row>
    <row r="233" spans="1:10" ht="14.25">
      <c r="A233" s="96" t="s">
        <v>44</v>
      </c>
      <c r="B233" s="89" t="s">
        <v>1513</v>
      </c>
      <c r="C233" s="90" t="s">
        <v>111</v>
      </c>
      <c r="D233" s="92" t="s">
        <v>100</v>
      </c>
      <c r="E233" s="313">
        <v>0</v>
      </c>
      <c r="F233" s="313">
        <v>0</v>
      </c>
      <c r="G233" s="313">
        <v>0</v>
      </c>
      <c r="H233" s="371">
        <f>AVERAGEA(E233:G233)</f>
        <v>0</v>
      </c>
      <c r="I233" s="313"/>
      <c r="J233" s="620"/>
    </row>
    <row r="234" spans="1:10" ht="15" thickBot="1">
      <c r="A234" s="96" t="s">
        <v>45</v>
      </c>
      <c r="B234" s="89" t="s">
        <v>1522</v>
      </c>
      <c r="C234" s="90" t="s">
        <v>111</v>
      </c>
      <c r="D234" s="92" t="s">
        <v>242</v>
      </c>
      <c r="E234" s="313">
        <v>0</v>
      </c>
      <c r="F234" s="313">
        <v>0</v>
      </c>
      <c r="G234" s="313">
        <v>0</v>
      </c>
      <c r="H234" s="538">
        <f>AVERAGEA(E234:G234)</f>
        <v>0</v>
      </c>
      <c r="I234" s="313"/>
      <c r="J234" s="620"/>
    </row>
    <row r="235" spans="1:10" ht="15" thickBot="1">
      <c r="A235" s="335" t="s">
        <v>46</v>
      </c>
      <c r="B235" s="753" t="s">
        <v>1515</v>
      </c>
      <c r="C235" s="335" t="s">
        <v>1514</v>
      </c>
      <c r="D235" s="335" t="s">
        <v>234</v>
      </c>
      <c r="E235" s="335">
        <f>E233*E234/10</f>
        <v>0</v>
      </c>
      <c r="F235" s="335">
        <f>F233*F234/10</f>
        <v>0</v>
      </c>
      <c r="G235" s="335">
        <f>G233*G234/10</f>
        <v>0</v>
      </c>
      <c r="H235" s="335">
        <f>H233*H234/10</f>
        <v>0</v>
      </c>
      <c r="I235" s="335">
        <f>I233*I234/10</f>
        <v>0</v>
      </c>
      <c r="J235" s="335"/>
    </row>
    <row r="236" spans="1:10" ht="15" thickBot="1">
      <c r="A236" s="207"/>
      <c r="B236" s="748"/>
      <c r="C236" s="749"/>
      <c r="D236" s="208"/>
      <c r="E236" s="750"/>
      <c r="F236" s="750"/>
      <c r="G236" s="750"/>
      <c r="H236" s="752"/>
      <c r="I236" s="750"/>
      <c r="J236" s="751"/>
    </row>
    <row r="237" spans="1:10" ht="29.25" thickBot="1">
      <c r="A237" s="307" t="s">
        <v>52</v>
      </c>
      <c r="B237" s="312" t="s">
        <v>317</v>
      </c>
      <c r="C237" s="307" t="s">
        <v>1404</v>
      </c>
      <c r="D237" s="307" t="s">
        <v>100</v>
      </c>
      <c r="E237" s="346">
        <f>E118+E206+E220+E228+E233</f>
        <v>0</v>
      </c>
      <c r="F237" s="346">
        <f>F118+F206+F220+F228+F233</f>
        <v>0</v>
      </c>
      <c r="G237" s="346">
        <f>G118+G206+G220+G228+G233</f>
        <v>0</v>
      </c>
      <c r="H237" s="346">
        <f>H118+H206+H220+H228+H233</f>
        <v>0</v>
      </c>
      <c r="I237" s="346">
        <f>I118+I206+I220+I228+I233</f>
        <v>0</v>
      </c>
      <c r="J237" s="335"/>
    </row>
    <row r="238" spans="1:10" ht="14.25">
      <c r="A238" s="511" t="s">
        <v>110</v>
      </c>
      <c r="B238" s="484" t="s">
        <v>704</v>
      </c>
      <c r="C238" s="485"/>
      <c r="D238" s="483" t="s">
        <v>100</v>
      </c>
      <c r="E238" s="313">
        <v>0</v>
      </c>
      <c r="F238" s="313">
        <v>0</v>
      </c>
      <c r="G238" s="313">
        <v>0</v>
      </c>
      <c r="H238" s="371">
        <f>AVERAGEA(E238:G238)</f>
        <v>0</v>
      </c>
      <c r="I238" s="313"/>
      <c r="J238" s="620"/>
    </row>
    <row r="239" spans="1:10" ht="15" thickBot="1">
      <c r="A239" s="548" t="s">
        <v>113</v>
      </c>
      <c r="B239" s="487" t="s">
        <v>289</v>
      </c>
      <c r="C239" s="488"/>
      <c r="D239" s="486" t="s">
        <v>100</v>
      </c>
      <c r="E239" s="313">
        <v>0</v>
      </c>
      <c r="F239" s="313">
        <v>0</v>
      </c>
      <c r="G239" s="313">
        <v>0</v>
      </c>
      <c r="H239" s="371">
        <f>AVERAGEA(E239:G239)</f>
        <v>0</v>
      </c>
      <c r="I239" s="313"/>
      <c r="J239" s="620"/>
    </row>
    <row r="240" spans="1:10" ht="29.25" thickBot="1">
      <c r="A240" s="307" t="s">
        <v>119</v>
      </c>
      <c r="B240" s="312" t="s">
        <v>733</v>
      </c>
      <c r="C240" s="307" t="s">
        <v>1405</v>
      </c>
      <c r="D240" s="307" t="s">
        <v>100</v>
      </c>
      <c r="E240" s="307">
        <f>E238+IF(E239&gt;(E95+E96+E97),E239-(E95+E96+E97),0)</f>
        <v>0</v>
      </c>
      <c r="F240" s="307">
        <f>F238+IF(F239&gt;(F95+F96+F97),F239-(F95+F96+F97),0)</f>
        <v>0</v>
      </c>
      <c r="G240" s="307">
        <f>G238+IF(G239&gt;(G95+G96+G97),G239-(G95+G96+G97),0)</f>
        <v>0</v>
      </c>
      <c r="H240" s="784">
        <f>H238+IF(H239&gt;(H95+H96+H97),H239-(H95+H96+H97),0)</f>
        <v>0</v>
      </c>
      <c r="I240" s="307">
        <f>I238+IF(I239&gt;(I95+I96+I97),I239-(I95+I96+I97),0)</f>
        <v>0</v>
      </c>
      <c r="J240" s="335"/>
    </row>
    <row r="241" spans="1:10" ht="33.75" customHeight="1" thickBot="1">
      <c r="A241" s="307" t="s">
        <v>259</v>
      </c>
      <c r="B241" s="312" t="s">
        <v>182</v>
      </c>
      <c r="C241" s="307" t="s">
        <v>702</v>
      </c>
      <c r="D241" s="307" t="s">
        <v>234</v>
      </c>
      <c r="E241" s="307">
        <f>E240*2717/10</f>
        <v>0</v>
      </c>
      <c r="F241" s="307">
        <f>F240*2717/10</f>
        <v>0</v>
      </c>
      <c r="G241" s="307">
        <f>G240*2717/10</f>
        <v>0</v>
      </c>
      <c r="H241" s="346">
        <f>H240*2717/10</f>
        <v>0</v>
      </c>
      <c r="I241" s="307">
        <f>I240*2717/10</f>
        <v>0</v>
      </c>
      <c r="J241" s="335"/>
    </row>
    <row r="242" spans="1:10" ht="63.75" customHeight="1" thickBot="1">
      <c r="A242" s="307" t="s">
        <v>703</v>
      </c>
      <c r="B242" s="312" t="s">
        <v>170</v>
      </c>
      <c r="C242" s="307" t="s">
        <v>1406</v>
      </c>
      <c r="D242" s="307" t="s">
        <v>100</v>
      </c>
      <c r="E242" s="307">
        <f>IF(E239&gt;(E95+E96+E97),((E237-E238)-(E239-(E95+E96+E97))),(E111+E237-E238))</f>
        <v>0</v>
      </c>
      <c r="F242" s="307">
        <f>IF(F239&gt;(F95+F96+F97),((F237-F238)-(F239-(F95+F96+F97))),(F111+F237-F238))</f>
        <v>0</v>
      </c>
      <c r="G242" s="307">
        <f>IF(G239&gt;(G95+G96+G97),((G237-G238)-(G239-(G95+G96+G97))),(G111+G237-G238))</f>
        <v>0</v>
      </c>
      <c r="H242" s="346">
        <f>IF(H239&gt;(H95+H96+H97),((H237-H238)-(H239-(H95+H96+H97))),(H111+H237-H238))</f>
        <v>0</v>
      </c>
      <c r="I242" s="307">
        <f>IF(I239&gt;(I95+I96+I97),((I237-I238)-(I239-(I95+I96+I97))),(I111+I237-I238))</f>
        <v>0</v>
      </c>
      <c r="J242" s="335"/>
    </row>
    <row r="243" spans="1:10" ht="14.25">
      <c r="A243" s="113"/>
      <c r="B243" s="455"/>
      <c r="C243" s="456"/>
      <c r="D243" s="457"/>
      <c r="E243" s="304"/>
      <c r="F243" s="304"/>
      <c r="G243" s="304"/>
      <c r="H243" s="352"/>
      <c r="I243" s="49"/>
      <c r="J243" s="623"/>
    </row>
    <row r="244" spans="1:10" ht="14.25">
      <c r="A244" s="489" t="s">
        <v>36</v>
      </c>
      <c r="B244" s="490" t="s">
        <v>10</v>
      </c>
      <c r="C244" s="491"/>
      <c r="D244" s="492"/>
      <c r="E244" s="268"/>
      <c r="F244" s="268"/>
      <c r="G244" s="268"/>
      <c r="H244" s="353"/>
      <c r="I244" s="269"/>
      <c r="J244" s="631"/>
    </row>
    <row r="245" spans="1:10" ht="14.25">
      <c r="A245" s="477" t="s">
        <v>37</v>
      </c>
      <c r="B245" s="478" t="s">
        <v>62</v>
      </c>
      <c r="C245" s="780"/>
      <c r="D245" s="473"/>
      <c r="E245" s="266"/>
      <c r="F245" s="266"/>
      <c r="G245" s="266"/>
      <c r="H245" s="339"/>
      <c r="I245" s="410"/>
      <c r="J245" s="626"/>
    </row>
    <row r="246" spans="1:10" ht="14.25">
      <c r="A246" s="96" t="s">
        <v>43</v>
      </c>
      <c r="B246" s="89" t="s">
        <v>891</v>
      </c>
      <c r="C246" s="493" t="s">
        <v>890</v>
      </c>
      <c r="D246" s="92" t="s">
        <v>889</v>
      </c>
      <c r="E246" s="367"/>
      <c r="F246" s="367"/>
      <c r="G246" s="367"/>
      <c r="H246" s="371">
        <f>_xlfn.IFERROR(_xlfn.AVERAGEIF(E246:G246,"&gt;0",E246:G246),0)</f>
        <v>0</v>
      </c>
      <c r="I246" s="313"/>
      <c r="J246" s="620"/>
    </row>
    <row r="247" spans="1:10" ht="14.25">
      <c r="A247" s="96" t="s">
        <v>44</v>
      </c>
      <c r="B247" s="89" t="s">
        <v>264</v>
      </c>
      <c r="C247" s="90" t="s">
        <v>1088</v>
      </c>
      <c r="D247" s="92" t="s">
        <v>328</v>
      </c>
      <c r="E247" s="367"/>
      <c r="F247" s="367"/>
      <c r="G247" s="367"/>
      <c r="H247" s="371">
        <f>_xlfn.IFERROR(_xlfn.AVERAGEIF(E247:G247,"&gt;0",E247:G247),0)</f>
        <v>0</v>
      </c>
      <c r="I247" s="313"/>
      <c r="J247" s="620"/>
    </row>
    <row r="248" spans="1:10" ht="14.25">
      <c r="A248" s="96" t="s">
        <v>45</v>
      </c>
      <c r="B248" s="89" t="s">
        <v>257</v>
      </c>
      <c r="C248" s="90" t="s">
        <v>1088</v>
      </c>
      <c r="D248" s="92" t="s">
        <v>328</v>
      </c>
      <c r="E248" s="367"/>
      <c r="F248" s="367"/>
      <c r="G248" s="367"/>
      <c r="H248" s="371">
        <f>_xlfn.IFERROR(_xlfn.AVERAGEIF(E248:G248,"&gt;0",E248:G248),0)</f>
        <v>0</v>
      </c>
      <c r="I248" s="313"/>
      <c r="J248" s="620"/>
    </row>
    <row r="249" spans="1:10" ht="14.25">
      <c r="A249" s="96" t="s">
        <v>46</v>
      </c>
      <c r="B249" s="89" t="s">
        <v>26</v>
      </c>
      <c r="C249" s="90" t="s">
        <v>111</v>
      </c>
      <c r="D249" s="92" t="s">
        <v>76</v>
      </c>
      <c r="E249" s="313">
        <v>0</v>
      </c>
      <c r="F249" s="313">
        <v>0</v>
      </c>
      <c r="G249" s="313">
        <v>0</v>
      </c>
      <c r="H249" s="371">
        <f>AVERAGEA(E249:G249)</f>
        <v>0</v>
      </c>
      <c r="I249" s="313"/>
      <c r="J249" s="620"/>
    </row>
    <row r="250" spans="1:10" ht="14.25">
      <c r="A250" s="96" t="s">
        <v>47</v>
      </c>
      <c r="B250" s="89" t="s">
        <v>1128</v>
      </c>
      <c r="C250" s="90" t="s">
        <v>1153</v>
      </c>
      <c r="D250" s="92" t="s">
        <v>3</v>
      </c>
      <c r="E250" s="367"/>
      <c r="F250" s="367"/>
      <c r="G250" s="367"/>
      <c r="H250" s="371">
        <f>_xlfn.IFERROR(_xlfn.AVERAGEIF(E250:G250,"&gt;0",E250:G250),0)</f>
        <v>0</v>
      </c>
      <c r="I250" s="313"/>
      <c r="J250" s="620"/>
    </row>
    <row r="251" spans="1:10" ht="14.25">
      <c r="A251" s="96" t="s">
        <v>48</v>
      </c>
      <c r="B251" s="89" t="s">
        <v>27</v>
      </c>
      <c r="C251" s="90" t="s">
        <v>111</v>
      </c>
      <c r="D251" s="92" t="s">
        <v>76</v>
      </c>
      <c r="E251" s="313">
        <v>0</v>
      </c>
      <c r="F251" s="313">
        <v>0</v>
      </c>
      <c r="G251" s="313">
        <v>0</v>
      </c>
      <c r="H251" s="371">
        <f>AVERAGEA(E251:G251)</f>
        <v>0</v>
      </c>
      <c r="I251" s="313"/>
      <c r="J251" s="620"/>
    </row>
    <row r="252" spans="1:10" ht="15" thickBot="1">
      <c r="A252" s="207" t="s">
        <v>49</v>
      </c>
      <c r="B252" s="453" t="s">
        <v>1087</v>
      </c>
      <c r="C252" s="90" t="s">
        <v>183</v>
      </c>
      <c r="D252" s="474" t="s">
        <v>76</v>
      </c>
      <c r="E252" s="313">
        <v>0</v>
      </c>
      <c r="F252" s="313">
        <v>0</v>
      </c>
      <c r="G252" s="313">
        <v>0</v>
      </c>
      <c r="H252" s="371">
        <f>AVERAGEA(E252:G252)</f>
        <v>0</v>
      </c>
      <c r="I252" s="313"/>
      <c r="J252" s="620"/>
    </row>
    <row r="253" spans="1:10" ht="15" thickBot="1">
      <c r="A253" s="39" t="s">
        <v>50</v>
      </c>
      <c r="B253" s="40" t="s">
        <v>69</v>
      </c>
      <c r="C253" s="54" t="s">
        <v>1407</v>
      </c>
      <c r="D253" s="39" t="s">
        <v>76</v>
      </c>
      <c r="E253" s="39">
        <f>E251+E252</f>
        <v>0</v>
      </c>
      <c r="F253" s="39">
        <f>F251+F252</f>
        <v>0</v>
      </c>
      <c r="G253" s="39">
        <f>G251+G252</f>
        <v>0</v>
      </c>
      <c r="H253" s="41">
        <f>H251+H252</f>
        <v>0</v>
      </c>
      <c r="I253" s="39">
        <f>I251+I252</f>
        <v>0</v>
      </c>
      <c r="J253" s="42"/>
    </row>
    <row r="254" spans="1:10" ht="15" thickBot="1">
      <c r="A254" s="39" t="s">
        <v>101</v>
      </c>
      <c r="B254" s="40" t="s">
        <v>291</v>
      </c>
      <c r="C254" s="54" t="s">
        <v>1108</v>
      </c>
      <c r="D254" s="39" t="s">
        <v>234</v>
      </c>
      <c r="E254" s="39">
        <f aca="true" t="shared" si="9" ref="E254:I255">E247*E251/1000</f>
        <v>0</v>
      </c>
      <c r="F254" s="39">
        <f t="shared" si="9"/>
        <v>0</v>
      </c>
      <c r="G254" s="39">
        <f t="shared" si="9"/>
        <v>0</v>
      </c>
      <c r="H254" s="41">
        <f t="shared" si="9"/>
        <v>0</v>
      </c>
      <c r="I254" s="39">
        <f t="shared" si="9"/>
        <v>0</v>
      </c>
      <c r="J254" s="42"/>
    </row>
    <row r="255" spans="1:10" ht="14.25">
      <c r="A255" s="39" t="s">
        <v>102</v>
      </c>
      <c r="B255" s="40" t="s">
        <v>292</v>
      </c>
      <c r="C255" s="54" t="s">
        <v>1408</v>
      </c>
      <c r="D255" s="39" t="s">
        <v>234</v>
      </c>
      <c r="E255" s="39">
        <f t="shared" si="9"/>
        <v>0</v>
      </c>
      <c r="F255" s="39">
        <f t="shared" si="9"/>
        <v>0</v>
      </c>
      <c r="G255" s="39">
        <f t="shared" si="9"/>
        <v>0</v>
      </c>
      <c r="H255" s="41">
        <f t="shared" si="9"/>
        <v>0</v>
      </c>
      <c r="I255" s="39">
        <f t="shared" si="9"/>
        <v>0</v>
      </c>
      <c r="J255" s="42"/>
    </row>
    <row r="256" spans="1:10" ht="14.25">
      <c r="A256" s="113"/>
      <c r="B256" s="455"/>
      <c r="C256" s="456"/>
      <c r="D256" s="457"/>
      <c r="E256" s="304"/>
      <c r="F256" s="304"/>
      <c r="G256" s="304"/>
      <c r="H256" s="354"/>
      <c r="I256" s="314"/>
      <c r="J256" s="632"/>
    </row>
    <row r="257" spans="1:10" ht="14.25">
      <c r="A257" s="477" t="s">
        <v>53</v>
      </c>
      <c r="B257" s="478" t="s">
        <v>106</v>
      </c>
      <c r="C257" s="780"/>
      <c r="D257" s="473"/>
      <c r="E257" s="266"/>
      <c r="F257" s="266"/>
      <c r="G257" s="266"/>
      <c r="H257" s="339"/>
      <c r="I257" s="410"/>
      <c r="J257" s="626"/>
    </row>
    <row r="258" spans="1:10" ht="14.25">
      <c r="A258" s="96" t="s">
        <v>43</v>
      </c>
      <c r="B258" s="89" t="s">
        <v>891</v>
      </c>
      <c r="C258" s="493" t="s">
        <v>890</v>
      </c>
      <c r="D258" s="92" t="s">
        <v>889</v>
      </c>
      <c r="E258" s="367"/>
      <c r="F258" s="367"/>
      <c r="G258" s="367"/>
      <c r="H258" s="371">
        <f>_xlfn.IFERROR(_xlfn.AVERAGEIF(E258:G258,"&gt;0",E258:G258),0)</f>
        <v>0</v>
      </c>
      <c r="I258" s="313"/>
      <c r="J258" s="620"/>
    </row>
    <row r="259" spans="1:10" ht="14.25">
      <c r="A259" s="96" t="s">
        <v>44</v>
      </c>
      <c r="B259" s="89" t="s">
        <v>264</v>
      </c>
      <c r="C259" s="90" t="s">
        <v>1088</v>
      </c>
      <c r="D259" s="92" t="s">
        <v>328</v>
      </c>
      <c r="E259" s="367"/>
      <c r="F259" s="367"/>
      <c r="G259" s="367"/>
      <c r="H259" s="371">
        <f>_xlfn.IFERROR(_xlfn.AVERAGEIF(E259:G259,"&gt;0",E259:G259),0)</f>
        <v>0</v>
      </c>
      <c r="I259" s="313"/>
      <c r="J259" s="620"/>
    </row>
    <row r="260" spans="1:10" ht="14.25">
      <c r="A260" s="96" t="s">
        <v>45</v>
      </c>
      <c r="B260" s="89" t="s">
        <v>257</v>
      </c>
      <c r="C260" s="90" t="s">
        <v>1088</v>
      </c>
      <c r="D260" s="92" t="s">
        <v>328</v>
      </c>
      <c r="E260" s="367"/>
      <c r="F260" s="367"/>
      <c r="G260" s="367"/>
      <c r="H260" s="371">
        <f>_xlfn.IFERROR(_xlfn.AVERAGEIF(E260:G260,"&gt;0",E260:G260),0)</f>
        <v>0</v>
      </c>
      <c r="I260" s="609"/>
      <c r="J260" s="620"/>
    </row>
    <row r="261" spans="1:10" ht="14.25">
      <c r="A261" s="96" t="s">
        <v>46</v>
      </c>
      <c r="B261" s="89" t="s">
        <v>26</v>
      </c>
      <c r="C261" s="90" t="s">
        <v>111</v>
      </c>
      <c r="D261" s="92" t="s">
        <v>76</v>
      </c>
      <c r="E261" s="313">
        <v>0</v>
      </c>
      <c r="F261" s="313">
        <v>0</v>
      </c>
      <c r="G261" s="313">
        <v>0</v>
      </c>
      <c r="H261" s="371">
        <f>AVERAGEA(E261:G261)</f>
        <v>0</v>
      </c>
      <c r="I261" s="313"/>
      <c r="J261" s="620"/>
    </row>
    <row r="262" spans="1:10" ht="14.25">
      <c r="A262" s="96" t="s">
        <v>47</v>
      </c>
      <c r="B262" s="89" t="s">
        <v>1128</v>
      </c>
      <c r="C262" s="90" t="s">
        <v>1153</v>
      </c>
      <c r="D262" s="92" t="s">
        <v>3</v>
      </c>
      <c r="E262" s="367"/>
      <c r="F262" s="367"/>
      <c r="G262" s="367"/>
      <c r="H262" s="371">
        <f>_xlfn.IFERROR(_xlfn.AVERAGEIF(E262:G262,"&gt;0",E262:G262),0)</f>
        <v>0</v>
      </c>
      <c r="I262" s="313"/>
      <c r="J262" s="620"/>
    </row>
    <row r="263" spans="1:10" ht="14.25">
      <c r="A263" s="96" t="s">
        <v>48</v>
      </c>
      <c r="B263" s="89" t="s">
        <v>27</v>
      </c>
      <c r="C263" s="90" t="s">
        <v>111</v>
      </c>
      <c r="D263" s="92" t="s">
        <v>76</v>
      </c>
      <c r="E263" s="313">
        <v>0</v>
      </c>
      <c r="F263" s="313">
        <v>0</v>
      </c>
      <c r="G263" s="313">
        <v>0</v>
      </c>
      <c r="H263" s="371">
        <f>AVERAGEA(E263:G263)</f>
        <v>0</v>
      </c>
      <c r="I263" s="313"/>
      <c r="J263" s="620"/>
    </row>
    <row r="264" spans="1:10" ht="15" thickBot="1">
      <c r="A264" s="207" t="s">
        <v>49</v>
      </c>
      <c r="B264" s="453" t="s">
        <v>1087</v>
      </c>
      <c r="C264" s="90" t="s">
        <v>183</v>
      </c>
      <c r="D264" s="474" t="s">
        <v>76</v>
      </c>
      <c r="E264" s="313">
        <v>0</v>
      </c>
      <c r="F264" s="313">
        <v>0</v>
      </c>
      <c r="G264" s="313">
        <v>0</v>
      </c>
      <c r="H264" s="371">
        <f>AVERAGEA(E264:G264)</f>
        <v>0</v>
      </c>
      <c r="I264" s="313"/>
      <c r="J264" s="620"/>
    </row>
    <row r="265" spans="1:10" ht="15" thickBot="1">
      <c r="A265" s="39" t="s">
        <v>50</v>
      </c>
      <c r="B265" s="40" t="s">
        <v>69</v>
      </c>
      <c r="C265" s="54" t="s">
        <v>1407</v>
      </c>
      <c r="D265" s="39" t="s">
        <v>76</v>
      </c>
      <c r="E265" s="39">
        <f>E263+E264</f>
        <v>0</v>
      </c>
      <c r="F265" s="39">
        <f>F263+F264</f>
        <v>0</v>
      </c>
      <c r="G265" s="39">
        <f>G263+G264</f>
        <v>0</v>
      </c>
      <c r="H265" s="41">
        <f>H263+H264</f>
        <v>0</v>
      </c>
      <c r="I265" s="39">
        <f>I263+I264</f>
        <v>0</v>
      </c>
      <c r="J265" s="42"/>
    </row>
    <row r="266" spans="1:10" ht="15" thickBot="1">
      <c r="A266" s="39" t="s">
        <v>101</v>
      </c>
      <c r="B266" s="40" t="s">
        <v>291</v>
      </c>
      <c r="C266" s="54" t="s">
        <v>1108</v>
      </c>
      <c r="D266" s="39" t="s">
        <v>234</v>
      </c>
      <c r="E266" s="39">
        <f aca="true" t="shared" si="10" ref="E266:I267">E259*E263/1000</f>
        <v>0</v>
      </c>
      <c r="F266" s="39">
        <f t="shared" si="10"/>
        <v>0</v>
      </c>
      <c r="G266" s="39">
        <f t="shared" si="10"/>
        <v>0</v>
      </c>
      <c r="H266" s="41">
        <f t="shared" si="10"/>
        <v>0</v>
      </c>
      <c r="I266" s="39">
        <f t="shared" si="10"/>
        <v>0</v>
      </c>
      <c r="J266" s="42"/>
    </row>
    <row r="267" spans="1:10" ht="14.25">
      <c r="A267" s="39" t="s">
        <v>102</v>
      </c>
      <c r="B267" s="40" t="s">
        <v>292</v>
      </c>
      <c r="C267" s="54" t="s">
        <v>1408</v>
      </c>
      <c r="D267" s="39" t="s">
        <v>234</v>
      </c>
      <c r="E267" s="39">
        <f t="shared" si="10"/>
        <v>0</v>
      </c>
      <c r="F267" s="39">
        <f t="shared" si="10"/>
        <v>0</v>
      </c>
      <c r="G267" s="39">
        <f t="shared" si="10"/>
        <v>0</v>
      </c>
      <c r="H267" s="41">
        <f t="shared" si="10"/>
        <v>0</v>
      </c>
      <c r="I267" s="39">
        <f t="shared" si="10"/>
        <v>0</v>
      </c>
      <c r="J267" s="42"/>
    </row>
    <row r="268" spans="1:10" ht="14.25">
      <c r="A268" s="113"/>
      <c r="B268" s="455"/>
      <c r="C268" s="456"/>
      <c r="D268" s="457"/>
      <c r="E268" s="304"/>
      <c r="F268" s="304"/>
      <c r="G268" s="304"/>
      <c r="H268" s="350"/>
      <c r="I268" s="305"/>
      <c r="J268" s="628"/>
    </row>
    <row r="269" spans="1:10" ht="14.25">
      <c r="A269" s="477" t="s">
        <v>54</v>
      </c>
      <c r="B269" s="478" t="s">
        <v>171</v>
      </c>
      <c r="C269" s="780"/>
      <c r="D269" s="473"/>
      <c r="E269" s="266"/>
      <c r="F269" s="266"/>
      <c r="G269" s="266"/>
      <c r="H269" s="339"/>
      <c r="I269" s="410"/>
      <c r="J269" s="626"/>
    </row>
    <row r="270" spans="1:10" ht="14.25">
      <c r="A270" s="96" t="s">
        <v>43</v>
      </c>
      <c r="B270" s="89" t="s">
        <v>891</v>
      </c>
      <c r="C270" s="493" t="s">
        <v>890</v>
      </c>
      <c r="D270" s="92" t="s">
        <v>889</v>
      </c>
      <c r="E270" s="367"/>
      <c r="F270" s="367"/>
      <c r="G270" s="367"/>
      <c r="H270" s="371">
        <f>_xlfn.IFERROR(_xlfn.AVERAGEIF(E270:G270,"&gt;0",E270:G270),0)</f>
        <v>0</v>
      </c>
      <c r="I270" s="313"/>
      <c r="J270" s="620"/>
    </row>
    <row r="271" spans="1:10" ht="14.25">
      <c r="A271" s="96" t="s">
        <v>44</v>
      </c>
      <c r="B271" s="89" t="s">
        <v>264</v>
      </c>
      <c r="C271" s="90" t="s">
        <v>1088</v>
      </c>
      <c r="D271" s="92" t="s">
        <v>328</v>
      </c>
      <c r="E271" s="367"/>
      <c r="F271" s="367"/>
      <c r="G271" s="367"/>
      <c r="H271" s="371">
        <f>_xlfn.IFERROR(_xlfn.AVERAGEIF(E271:G271,"&gt;0",E271:G271),0)</f>
        <v>0</v>
      </c>
      <c r="I271" s="313"/>
      <c r="J271" s="620"/>
    </row>
    <row r="272" spans="1:10" ht="14.25">
      <c r="A272" s="96" t="s">
        <v>45</v>
      </c>
      <c r="B272" s="89" t="s">
        <v>257</v>
      </c>
      <c r="C272" s="90" t="s">
        <v>1088</v>
      </c>
      <c r="D272" s="92" t="s">
        <v>328</v>
      </c>
      <c r="E272" s="367"/>
      <c r="F272" s="367"/>
      <c r="G272" s="367"/>
      <c r="H272" s="371">
        <f>_xlfn.IFERROR(_xlfn.AVERAGEIF(E272:G272,"&gt;0",E272:G272),0)</f>
        <v>0</v>
      </c>
      <c r="I272" s="313"/>
      <c r="J272" s="620"/>
    </row>
    <row r="273" spans="1:10" ht="14.25">
      <c r="A273" s="96" t="s">
        <v>46</v>
      </c>
      <c r="B273" s="89" t="s">
        <v>26</v>
      </c>
      <c r="C273" s="90" t="s">
        <v>111</v>
      </c>
      <c r="D273" s="92" t="s">
        <v>76</v>
      </c>
      <c r="E273" s="313">
        <v>0</v>
      </c>
      <c r="F273" s="313">
        <v>0</v>
      </c>
      <c r="G273" s="313">
        <v>0</v>
      </c>
      <c r="H273" s="371">
        <f>AVERAGEA(E273:G273)</f>
        <v>0</v>
      </c>
      <c r="I273" s="313"/>
      <c r="J273" s="620"/>
    </row>
    <row r="274" spans="1:10" ht="14.25">
      <c r="A274" s="96" t="s">
        <v>47</v>
      </c>
      <c r="B274" s="89" t="s">
        <v>1128</v>
      </c>
      <c r="C274" s="90" t="s">
        <v>1153</v>
      </c>
      <c r="D274" s="92" t="s">
        <v>3</v>
      </c>
      <c r="E274" s="367"/>
      <c r="F274" s="367"/>
      <c r="G274" s="367"/>
      <c r="H274" s="371">
        <f>_xlfn.IFERROR(_xlfn.AVERAGEIF(E274:G274,"&gt;0",E274:G274),0)</f>
        <v>0</v>
      </c>
      <c r="I274" s="313"/>
      <c r="J274" s="620"/>
    </row>
    <row r="275" spans="1:10" ht="14.25">
      <c r="A275" s="96" t="s">
        <v>48</v>
      </c>
      <c r="B275" s="89" t="s">
        <v>27</v>
      </c>
      <c r="C275" s="90" t="s">
        <v>111</v>
      </c>
      <c r="D275" s="92" t="s">
        <v>76</v>
      </c>
      <c r="E275" s="313">
        <v>0</v>
      </c>
      <c r="F275" s="313">
        <v>0</v>
      </c>
      <c r="G275" s="313">
        <v>0</v>
      </c>
      <c r="H275" s="371">
        <f>AVERAGEA(E275:G275)</f>
        <v>0</v>
      </c>
      <c r="I275" s="313"/>
      <c r="J275" s="620"/>
    </row>
    <row r="276" spans="1:10" ht="15" thickBot="1">
      <c r="A276" s="207" t="s">
        <v>49</v>
      </c>
      <c r="B276" s="453" t="s">
        <v>290</v>
      </c>
      <c r="C276" s="90" t="s">
        <v>183</v>
      </c>
      <c r="D276" s="474" t="s">
        <v>76</v>
      </c>
      <c r="E276" s="313">
        <v>0</v>
      </c>
      <c r="F276" s="313">
        <v>0</v>
      </c>
      <c r="G276" s="313">
        <v>0</v>
      </c>
      <c r="H276" s="371">
        <f>AVERAGEA(E276:G276)</f>
        <v>0</v>
      </c>
      <c r="I276" s="313"/>
      <c r="J276" s="620"/>
    </row>
    <row r="277" spans="1:10" ht="15" thickBot="1">
      <c r="A277" s="39" t="s">
        <v>50</v>
      </c>
      <c r="B277" s="40" t="s">
        <v>69</v>
      </c>
      <c r="C277" s="54" t="s">
        <v>1407</v>
      </c>
      <c r="D277" s="39" t="s">
        <v>76</v>
      </c>
      <c r="E277" s="39">
        <f>E275+E276</f>
        <v>0</v>
      </c>
      <c r="F277" s="39">
        <f>F275+F276</f>
        <v>0</v>
      </c>
      <c r="G277" s="39">
        <f>G275+G276</f>
        <v>0</v>
      </c>
      <c r="H277" s="41">
        <f>H275+H276</f>
        <v>0</v>
      </c>
      <c r="I277" s="39">
        <f>I275+I276</f>
        <v>0</v>
      </c>
      <c r="J277" s="42"/>
    </row>
    <row r="278" spans="1:10" ht="15" thickBot="1">
      <c r="A278" s="39" t="s">
        <v>101</v>
      </c>
      <c r="B278" s="40" t="s">
        <v>291</v>
      </c>
      <c r="C278" s="54" t="s">
        <v>1108</v>
      </c>
      <c r="D278" s="39" t="s">
        <v>234</v>
      </c>
      <c r="E278" s="39">
        <f aca="true" t="shared" si="11" ref="E278:I279">E271*E275/1000</f>
        <v>0</v>
      </c>
      <c r="F278" s="39">
        <f t="shared" si="11"/>
        <v>0</v>
      </c>
      <c r="G278" s="39">
        <f t="shared" si="11"/>
        <v>0</v>
      </c>
      <c r="H278" s="41">
        <f t="shared" si="11"/>
        <v>0</v>
      </c>
      <c r="I278" s="39">
        <f t="shared" si="11"/>
        <v>0</v>
      </c>
      <c r="J278" s="42"/>
    </row>
    <row r="279" spans="1:10" ht="14.25">
      <c r="A279" s="39" t="s">
        <v>102</v>
      </c>
      <c r="B279" s="40" t="s">
        <v>292</v>
      </c>
      <c r="C279" s="54" t="s">
        <v>1408</v>
      </c>
      <c r="D279" s="39" t="s">
        <v>234</v>
      </c>
      <c r="E279" s="39">
        <f t="shared" si="11"/>
        <v>0</v>
      </c>
      <c r="F279" s="39">
        <f t="shared" si="11"/>
        <v>0</v>
      </c>
      <c r="G279" s="39">
        <f t="shared" si="11"/>
        <v>0</v>
      </c>
      <c r="H279" s="41">
        <f t="shared" si="11"/>
        <v>0</v>
      </c>
      <c r="I279" s="39">
        <f t="shared" si="11"/>
        <v>0</v>
      </c>
      <c r="J279" s="42"/>
    </row>
    <row r="280" spans="1:10" ht="14.25">
      <c r="A280" s="113"/>
      <c r="B280" s="455"/>
      <c r="C280" s="456"/>
      <c r="D280" s="457"/>
      <c r="E280" s="304"/>
      <c r="F280" s="304"/>
      <c r="G280" s="304"/>
      <c r="H280" s="350"/>
      <c r="I280" s="305"/>
      <c r="J280" s="628"/>
    </row>
    <row r="281" spans="1:10" ht="14.25">
      <c r="A281" s="477" t="s">
        <v>320</v>
      </c>
      <c r="B281" s="478" t="s">
        <v>238</v>
      </c>
      <c r="C281" s="780"/>
      <c r="D281" s="473"/>
      <c r="E281" s="266"/>
      <c r="F281" s="266"/>
      <c r="G281" s="266"/>
      <c r="H281" s="339"/>
      <c r="I281" s="410"/>
      <c r="J281" s="626"/>
    </row>
    <row r="282" spans="1:10" ht="14.25">
      <c r="A282" s="96" t="s">
        <v>43</v>
      </c>
      <c r="B282" s="89" t="s">
        <v>891</v>
      </c>
      <c r="C282" s="493" t="s">
        <v>890</v>
      </c>
      <c r="D282" s="92" t="s">
        <v>889</v>
      </c>
      <c r="E282" s="367"/>
      <c r="F282" s="367"/>
      <c r="G282" s="367"/>
      <c r="H282" s="371">
        <f>_xlfn.IFERROR(_xlfn.AVERAGEIF(E282:G282,"&gt;0",E282:G282),0)</f>
        <v>0</v>
      </c>
      <c r="I282" s="313"/>
      <c r="J282" s="620"/>
    </row>
    <row r="283" spans="1:10" ht="14.25">
      <c r="A283" s="96" t="s">
        <v>44</v>
      </c>
      <c r="B283" s="89" t="s">
        <v>264</v>
      </c>
      <c r="C283" s="90" t="s">
        <v>1088</v>
      </c>
      <c r="D283" s="92" t="s">
        <v>328</v>
      </c>
      <c r="E283" s="367"/>
      <c r="F283" s="367"/>
      <c r="G283" s="367"/>
      <c r="H283" s="371">
        <f>_xlfn.IFERROR(_xlfn.AVERAGEIF(E283:G283,"&gt;0",E283:G283),0)</f>
        <v>0</v>
      </c>
      <c r="I283" s="313"/>
      <c r="J283" s="620"/>
    </row>
    <row r="284" spans="1:10" ht="14.25">
      <c r="A284" s="96" t="s">
        <v>45</v>
      </c>
      <c r="B284" s="89" t="s">
        <v>257</v>
      </c>
      <c r="C284" s="90" t="s">
        <v>1088</v>
      </c>
      <c r="D284" s="92" t="s">
        <v>328</v>
      </c>
      <c r="E284" s="367"/>
      <c r="F284" s="367"/>
      <c r="G284" s="367"/>
      <c r="H284" s="371">
        <f>_xlfn.IFERROR(_xlfn.AVERAGEIF(E284:G284,"&gt;0",E284:G284),0)</f>
        <v>0</v>
      </c>
      <c r="I284" s="313"/>
      <c r="J284" s="620"/>
    </row>
    <row r="285" spans="1:10" ht="14.25">
      <c r="A285" s="96" t="s">
        <v>46</v>
      </c>
      <c r="B285" s="89" t="s">
        <v>26</v>
      </c>
      <c r="C285" s="90" t="s">
        <v>111</v>
      </c>
      <c r="D285" s="92" t="s">
        <v>76</v>
      </c>
      <c r="E285" s="313">
        <v>0</v>
      </c>
      <c r="F285" s="313">
        <v>0</v>
      </c>
      <c r="G285" s="313">
        <v>0</v>
      </c>
      <c r="H285" s="371">
        <f>AVERAGEA(E285:G285)</f>
        <v>0</v>
      </c>
      <c r="I285" s="313"/>
      <c r="J285" s="620"/>
    </row>
    <row r="286" spans="1:10" ht="14.25">
      <c r="A286" s="96" t="s">
        <v>47</v>
      </c>
      <c r="B286" s="89" t="s">
        <v>1128</v>
      </c>
      <c r="C286" s="90" t="s">
        <v>1153</v>
      </c>
      <c r="D286" s="92" t="s">
        <v>3</v>
      </c>
      <c r="E286" s="367"/>
      <c r="F286" s="367"/>
      <c r="G286" s="367"/>
      <c r="H286" s="371">
        <f>_xlfn.IFERROR(_xlfn.AVERAGEIF(E286:G286,"&gt;0",E286:G286),0)</f>
        <v>0</v>
      </c>
      <c r="I286" s="313"/>
      <c r="J286" s="620"/>
    </row>
    <row r="287" spans="1:10" ht="14.25">
      <c r="A287" s="96" t="s">
        <v>48</v>
      </c>
      <c r="B287" s="89" t="s">
        <v>27</v>
      </c>
      <c r="C287" s="90" t="s">
        <v>111</v>
      </c>
      <c r="D287" s="92" t="s">
        <v>76</v>
      </c>
      <c r="E287" s="313">
        <v>0</v>
      </c>
      <c r="F287" s="313">
        <v>0</v>
      </c>
      <c r="G287" s="313">
        <v>0</v>
      </c>
      <c r="H287" s="371">
        <f>AVERAGEA(E287:G287)</f>
        <v>0</v>
      </c>
      <c r="I287" s="313"/>
      <c r="J287" s="620"/>
    </row>
    <row r="288" spans="1:10" ht="15" thickBot="1">
      <c r="A288" s="207" t="s">
        <v>49</v>
      </c>
      <c r="B288" s="89" t="s">
        <v>290</v>
      </c>
      <c r="C288" s="90" t="s">
        <v>183</v>
      </c>
      <c r="D288" s="92" t="s">
        <v>76</v>
      </c>
      <c r="E288" s="313">
        <v>0</v>
      </c>
      <c r="F288" s="313">
        <v>0</v>
      </c>
      <c r="G288" s="313">
        <v>0</v>
      </c>
      <c r="H288" s="371">
        <f>AVERAGEA(E288:G288)</f>
        <v>0</v>
      </c>
      <c r="I288" s="313"/>
      <c r="J288" s="620"/>
    </row>
    <row r="289" spans="1:10" ht="15" thickBot="1">
      <c r="A289" s="39" t="s">
        <v>50</v>
      </c>
      <c r="B289" s="40" t="s">
        <v>69</v>
      </c>
      <c r="C289" s="54" t="s">
        <v>1407</v>
      </c>
      <c r="D289" s="39" t="s">
        <v>76</v>
      </c>
      <c r="E289" s="39">
        <f>E287+E288</f>
        <v>0</v>
      </c>
      <c r="F289" s="39">
        <f>F287+F288</f>
        <v>0</v>
      </c>
      <c r="G289" s="39">
        <f>G287+G288</f>
        <v>0</v>
      </c>
      <c r="H289" s="41">
        <f>H287+H288</f>
        <v>0</v>
      </c>
      <c r="I289" s="39">
        <f>I287+I288</f>
        <v>0</v>
      </c>
      <c r="J289" s="42"/>
    </row>
    <row r="290" spans="1:10" ht="15" thickBot="1">
      <c r="A290" s="39" t="s">
        <v>101</v>
      </c>
      <c r="B290" s="40" t="s">
        <v>291</v>
      </c>
      <c r="C290" s="54" t="s">
        <v>1108</v>
      </c>
      <c r="D290" s="39" t="s">
        <v>234</v>
      </c>
      <c r="E290" s="39">
        <f aca="true" t="shared" si="12" ref="E290:I291">E283*E287/1000</f>
        <v>0</v>
      </c>
      <c r="F290" s="39">
        <f t="shared" si="12"/>
        <v>0</v>
      </c>
      <c r="G290" s="39">
        <f t="shared" si="12"/>
        <v>0</v>
      </c>
      <c r="H290" s="41">
        <f t="shared" si="12"/>
        <v>0</v>
      </c>
      <c r="I290" s="39">
        <f t="shared" si="12"/>
        <v>0</v>
      </c>
      <c r="J290" s="42"/>
    </row>
    <row r="291" spans="1:10" ht="14.25">
      <c r="A291" s="39" t="s">
        <v>102</v>
      </c>
      <c r="B291" s="40" t="s">
        <v>292</v>
      </c>
      <c r="C291" s="54" t="s">
        <v>1408</v>
      </c>
      <c r="D291" s="39" t="s">
        <v>234</v>
      </c>
      <c r="E291" s="39">
        <f t="shared" si="12"/>
        <v>0</v>
      </c>
      <c r="F291" s="39">
        <f t="shared" si="12"/>
        <v>0</v>
      </c>
      <c r="G291" s="39">
        <f t="shared" si="12"/>
        <v>0</v>
      </c>
      <c r="H291" s="41">
        <f t="shared" si="12"/>
        <v>0</v>
      </c>
      <c r="I291" s="39">
        <f t="shared" si="12"/>
        <v>0</v>
      </c>
      <c r="J291" s="42"/>
    </row>
    <row r="292" spans="1:10" ht="14.25">
      <c r="A292" s="549"/>
      <c r="B292" s="57"/>
      <c r="C292" s="319"/>
      <c r="D292" s="56"/>
      <c r="E292" s="56"/>
      <c r="F292" s="56"/>
      <c r="G292" s="56"/>
      <c r="H292" s="355"/>
      <c r="I292" s="56"/>
      <c r="J292" s="550"/>
    </row>
    <row r="293" spans="1:10" ht="14.25">
      <c r="A293" s="477" t="s">
        <v>321</v>
      </c>
      <c r="B293" s="478" t="s">
        <v>734</v>
      </c>
      <c r="C293" s="780"/>
      <c r="D293" s="473"/>
      <c r="E293" s="266"/>
      <c r="F293" s="266"/>
      <c r="G293" s="266"/>
      <c r="H293" s="339"/>
      <c r="I293" s="410"/>
      <c r="J293" s="626"/>
    </row>
    <row r="294" spans="1:10" ht="14.25">
      <c r="A294" s="96" t="s">
        <v>43</v>
      </c>
      <c r="B294" s="89" t="s">
        <v>891</v>
      </c>
      <c r="C294" s="493" t="s">
        <v>890</v>
      </c>
      <c r="D294" s="92" t="s">
        <v>889</v>
      </c>
      <c r="E294" s="367"/>
      <c r="F294" s="367"/>
      <c r="G294" s="367"/>
      <c r="H294" s="371">
        <f>_xlfn.IFERROR(_xlfn.AVERAGEIF(E294:G294,"&gt;0",E294:G294),0)</f>
        <v>0</v>
      </c>
      <c r="I294" s="313"/>
      <c r="J294" s="620"/>
    </row>
    <row r="295" spans="1:10" ht="14.25">
      <c r="A295" s="96" t="s">
        <v>44</v>
      </c>
      <c r="B295" s="89" t="s">
        <v>264</v>
      </c>
      <c r="C295" s="90" t="s">
        <v>1088</v>
      </c>
      <c r="D295" s="92" t="s">
        <v>328</v>
      </c>
      <c r="E295" s="367"/>
      <c r="F295" s="367"/>
      <c r="G295" s="367"/>
      <c r="H295" s="371">
        <f>_xlfn.IFERROR(_xlfn.AVERAGEIF(E295:G295,"&gt;0",E295:G295),0)</f>
        <v>0</v>
      </c>
      <c r="I295" s="313"/>
      <c r="J295" s="620"/>
    </row>
    <row r="296" spans="1:10" ht="14.25">
      <c r="A296" s="96" t="s">
        <v>45</v>
      </c>
      <c r="B296" s="89" t="s">
        <v>257</v>
      </c>
      <c r="C296" s="90" t="s">
        <v>1088</v>
      </c>
      <c r="D296" s="92" t="s">
        <v>328</v>
      </c>
      <c r="E296" s="367"/>
      <c r="F296" s="367"/>
      <c r="G296" s="367"/>
      <c r="H296" s="371">
        <f>_xlfn.IFERROR(_xlfn.AVERAGEIF(E296:G296,"&gt;0",E296:G296),0)</f>
        <v>0</v>
      </c>
      <c r="I296" s="313"/>
      <c r="J296" s="620"/>
    </row>
    <row r="297" spans="1:10" ht="14.25">
      <c r="A297" s="96" t="s">
        <v>46</v>
      </c>
      <c r="B297" s="89" t="s">
        <v>26</v>
      </c>
      <c r="C297" s="90" t="s">
        <v>111</v>
      </c>
      <c r="D297" s="92" t="s">
        <v>76</v>
      </c>
      <c r="E297" s="313">
        <v>0</v>
      </c>
      <c r="F297" s="313">
        <v>0</v>
      </c>
      <c r="G297" s="313">
        <v>0</v>
      </c>
      <c r="H297" s="371">
        <f>AVERAGEA(E297:G297)</f>
        <v>0</v>
      </c>
      <c r="I297" s="313"/>
      <c r="J297" s="620"/>
    </row>
    <row r="298" spans="1:10" ht="14.25">
      <c r="A298" s="96" t="s">
        <v>47</v>
      </c>
      <c r="B298" s="89" t="s">
        <v>1128</v>
      </c>
      <c r="C298" s="90" t="s">
        <v>1153</v>
      </c>
      <c r="D298" s="92" t="s">
        <v>3</v>
      </c>
      <c r="E298" s="367"/>
      <c r="F298" s="367"/>
      <c r="G298" s="367"/>
      <c r="H298" s="371">
        <f>_xlfn.IFERROR(_xlfn.AVERAGEIF(E298:G298,"&gt;0",E298:G298),0)</f>
        <v>0</v>
      </c>
      <c r="I298" s="313"/>
      <c r="J298" s="620"/>
    </row>
    <row r="299" spans="1:10" ht="14.25">
      <c r="A299" s="96" t="s">
        <v>48</v>
      </c>
      <c r="B299" s="89" t="s">
        <v>27</v>
      </c>
      <c r="C299" s="90" t="s">
        <v>111</v>
      </c>
      <c r="D299" s="92" t="s">
        <v>76</v>
      </c>
      <c r="E299" s="313">
        <v>0</v>
      </c>
      <c r="F299" s="313">
        <v>0</v>
      </c>
      <c r="G299" s="313">
        <v>0</v>
      </c>
      <c r="H299" s="371">
        <f>AVERAGEA(E299:G299)</f>
        <v>0</v>
      </c>
      <c r="I299" s="313"/>
      <c r="J299" s="620"/>
    </row>
    <row r="300" spans="1:10" ht="15" thickBot="1">
      <c r="A300" s="207" t="s">
        <v>49</v>
      </c>
      <c r="B300" s="89" t="s">
        <v>290</v>
      </c>
      <c r="C300" s="90" t="s">
        <v>183</v>
      </c>
      <c r="D300" s="92" t="s">
        <v>76</v>
      </c>
      <c r="E300" s="313">
        <v>0</v>
      </c>
      <c r="F300" s="313">
        <v>0</v>
      </c>
      <c r="G300" s="313">
        <v>0</v>
      </c>
      <c r="H300" s="371">
        <f>AVERAGEA(E300:G300)</f>
        <v>0</v>
      </c>
      <c r="I300" s="313"/>
      <c r="J300" s="620"/>
    </row>
    <row r="301" spans="1:10" ht="15" thickBot="1">
      <c r="A301" s="39" t="s">
        <v>50</v>
      </c>
      <c r="B301" s="40" t="s">
        <v>69</v>
      </c>
      <c r="C301" s="54" t="s">
        <v>1407</v>
      </c>
      <c r="D301" s="39" t="s">
        <v>76</v>
      </c>
      <c r="E301" s="39">
        <f>E299+E300</f>
        <v>0</v>
      </c>
      <c r="F301" s="39">
        <f>F299+F300</f>
        <v>0</v>
      </c>
      <c r="G301" s="39">
        <f>G299+G300</f>
        <v>0</v>
      </c>
      <c r="H301" s="41">
        <f>H299+H300</f>
        <v>0</v>
      </c>
      <c r="I301" s="39">
        <f>I299+I300</f>
        <v>0</v>
      </c>
      <c r="J301" s="42"/>
    </row>
    <row r="302" spans="1:10" ht="15" thickBot="1">
      <c r="A302" s="39" t="s">
        <v>101</v>
      </c>
      <c r="B302" s="40" t="s">
        <v>291</v>
      </c>
      <c r="C302" s="54" t="s">
        <v>1108</v>
      </c>
      <c r="D302" s="39" t="s">
        <v>234</v>
      </c>
      <c r="E302" s="39">
        <f aca="true" t="shared" si="13" ref="E302:I303">E295*E299/1000</f>
        <v>0</v>
      </c>
      <c r="F302" s="39">
        <f t="shared" si="13"/>
        <v>0</v>
      </c>
      <c r="G302" s="39">
        <f t="shared" si="13"/>
        <v>0</v>
      </c>
      <c r="H302" s="41">
        <f t="shared" si="13"/>
        <v>0</v>
      </c>
      <c r="I302" s="39">
        <f t="shared" si="13"/>
        <v>0</v>
      </c>
      <c r="J302" s="42"/>
    </row>
    <row r="303" spans="1:10" ht="14.25">
      <c r="A303" s="39" t="s">
        <v>102</v>
      </c>
      <c r="B303" s="40" t="s">
        <v>292</v>
      </c>
      <c r="C303" s="54" t="s">
        <v>1408</v>
      </c>
      <c r="D303" s="39" t="s">
        <v>234</v>
      </c>
      <c r="E303" s="39">
        <f t="shared" si="13"/>
        <v>0</v>
      </c>
      <c r="F303" s="39">
        <f t="shared" si="13"/>
        <v>0</v>
      </c>
      <c r="G303" s="39">
        <f t="shared" si="13"/>
        <v>0</v>
      </c>
      <c r="H303" s="41">
        <f t="shared" si="13"/>
        <v>0</v>
      </c>
      <c r="I303" s="39">
        <f t="shared" si="13"/>
        <v>0</v>
      </c>
      <c r="J303" s="42"/>
    </row>
    <row r="304" spans="1:10" ht="14.25">
      <c r="A304" s="549"/>
      <c r="B304" s="57"/>
      <c r="C304" s="319"/>
      <c r="D304" s="56"/>
      <c r="E304" s="56"/>
      <c r="F304" s="56"/>
      <c r="G304" s="56"/>
      <c r="H304" s="355"/>
      <c r="I304" s="56"/>
      <c r="J304" s="550"/>
    </row>
    <row r="305" spans="1:10" ht="14.25">
      <c r="A305" s="477" t="s">
        <v>322</v>
      </c>
      <c r="B305" s="478" t="s">
        <v>735</v>
      </c>
      <c r="C305" s="780"/>
      <c r="D305" s="473"/>
      <c r="E305" s="266"/>
      <c r="F305" s="266"/>
      <c r="G305" s="266"/>
      <c r="H305" s="339"/>
      <c r="I305" s="410"/>
      <c r="J305" s="626"/>
    </row>
    <row r="306" spans="1:10" ht="14.25">
      <c r="A306" s="96" t="s">
        <v>43</v>
      </c>
      <c r="B306" s="89" t="s">
        <v>891</v>
      </c>
      <c r="C306" s="493" t="s">
        <v>890</v>
      </c>
      <c r="D306" s="92" t="s">
        <v>889</v>
      </c>
      <c r="E306" s="367"/>
      <c r="F306" s="367"/>
      <c r="G306" s="367"/>
      <c r="H306" s="371">
        <f>_xlfn.IFERROR(_xlfn.AVERAGEIF(E306:G306,"&gt;0",E306:G306),0)</f>
        <v>0</v>
      </c>
      <c r="I306" s="313"/>
      <c r="J306" s="620"/>
    </row>
    <row r="307" spans="1:10" ht="14.25">
      <c r="A307" s="96" t="s">
        <v>44</v>
      </c>
      <c r="B307" s="89" t="s">
        <v>264</v>
      </c>
      <c r="C307" s="90" t="s">
        <v>1088</v>
      </c>
      <c r="D307" s="92" t="s">
        <v>328</v>
      </c>
      <c r="E307" s="367"/>
      <c r="F307" s="367"/>
      <c r="G307" s="367"/>
      <c r="H307" s="371">
        <f>_xlfn.IFERROR(_xlfn.AVERAGEIF(E307:G307,"&gt;0",E307:G307),0)</f>
        <v>0</v>
      </c>
      <c r="I307" s="313"/>
      <c r="J307" s="620"/>
    </row>
    <row r="308" spans="1:10" ht="14.25">
      <c r="A308" s="96" t="s">
        <v>45</v>
      </c>
      <c r="B308" s="89" t="s">
        <v>257</v>
      </c>
      <c r="C308" s="90" t="s">
        <v>1088</v>
      </c>
      <c r="D308" s="92" t="s">
        <v>328</v>
      </c>
      <c r="E308" s="367"/>
      <c r="F308" s="367"/>
      <c r="G308" s="367"/>
      <c r="H308" s="371">
        <f>_xlfn.IFERROR(_xlfn.AVERAGEIF(E308:G308,"&gt;0",E308:G308),0)</f>
        <v>0</v>
      </c>
      <c r="I308" s="313"/>
      <c r="J308" s="620"/>
    </row>
    <row r="309" spans="1:10" ht="14.25">
      <c r="A309" s="96" t="s">
        <v>46</v>
      </c>
      <c r="B309" s="89" t="s">
        <v>26</v>
      </c>
      <c r="C309" s="90" t="s">
        <v>111</v>
      </c>
      <c r="D309" s="92" t="s">
        <v>76</v>
      </c>
      <c r="E309" s="313">
        <v>0</v>
      </c>
      <c r="F309" s="313">
        <v>0</v>
      </c>
      <c r="G309" s="313">
        <v>0</v>
      </c>
      <c r="H309" s="371">
        <f>AVERAGEA(E309:G309)</f>
        <v>0</v>
      </c>
      <c r="I309" s="313"/>
      <c r="J309" s="620"/>
    </row>
    <row r="310" spans="1:10" ht="14.25">
      <c r="A310" s="96" t="s">
        <v>47</v>
      </c>
      <c r="B310" s="89" t="s">
        <v>1128</v>
      </c>
      <c r="C310" s="90" t="s">
        <v>1153</v>
      </c>
      <c r="D310" s="92" t="s">
        <v>3</v>
      </c>
      <c r="E310" s="367"/>
      <c r="F310" s="367"/>
      <c r="G310" s="367"/>
      <c r="H310" s="371">
        <f>_xlfn.IFERROR(_xlfn.AVERAGEIF(E310:G310,"&gt;0",E310:G310),0)</f>
        <v>0</v>
      </c>
      <c r="I310" s="313"/>
      <c r="J310" s="620"/>
    </row>
    <row r="311" spans="1:10" ht="14.25">
      <c r="A311" s="96" t="s">
        <v>48</v>
      </c>
      <c r="B311" s="89" t="s">
        <v>27</v>
      </c>
      <c r="C311" s="90" t="s">
        <v>111</v>
      </c>
      <c r="D311" s="92" t="s">
        <v>76</v>
      </c>
      <c r="E311" s="313">
        <v>0</v>
      </c>
      <c r="F311" s="313">
        <v>0</v>
      </c>
      <c r="G311" s="313">
        <v>0</v>
      </c>
      <c r="H311" s="371">
        <f>AVERAGEA(E311:G311)</f>
        <v>0</v>
      </c>
      <c r="I311" s="313"/>
      <c r="J311" s="620"/>
    </row>
    <row r="312" spans="1:10" ht="15" thickBot="1">
      <c r="A312" s="207" t="s">
        <v>49</v>
      </c>
      <c r="B312" s="89" t="s">
        <v>290</v>
      </c>
      <c r="C312" s="90" t="s">
        <v>183</v>
      </c>
      <c r="D312" s="92" t="s">
        <v>76</v>
      </c>
      <c r="E312" s="313">
        <v>0</v>
      </c>
      <c r="F312" s="313">
        <v>0</v>
      </c>
      <c r="G312" s="313">
        <v>0</v>
      </c>
      <c r="H312" s="371">
        <f>AVERAGEA(E312:G312)</f>
        <v>0</v>
      </c>
      <c r="I312" s="313"/>
      <c r="J312" s="620"/>
    </row>
    <row r="313" spans="1:10" ht="15" thickBot="1">
      <c r="A313" s="39" t="s">
        <v>50</v>
      </c>
      <c r="B313" s="40" t="s">
        <v>69</v>
      </c>
      <c r="C313" s="54" t="s">
        <v>1407</v>
      </c>
      <c r="D313" s="39" t="s">
        <v>76</v>
      </c>
      <c r="E313" s="39">
        <f>E311+E312</f>
        <v>0</v>
      </c>
      <c r="F313" s="39">
        <f>F311+F312</f>
        <v>0</v>
      </c>
      <c r="G313" s="39">
        <f>G311+G312</f>
        <v>0</v>
      </c>
      <c r="H313" s="41">
        <f>H311+H312</f>
        <v>0</v>
      </c>
      <c r="I313" s="39">
        <f>I311+I312</f>
        <v>0</v>
      </c>
      <c r="J313" s="42"/>
    </row>
    <row r="314" spans="1:10" ht="15" thickBot="1">
      <c r="A314" s="39" t="s">
        <v>101</v>
      </c>
      <c r="B314" s="40" t="s">
        <v>291</v>
      </c>
      <c r="C314" s="54" t="s">
        <v>1108</v>
      </c>
      <c r="D314" s="39" t="s">
        <v>234</v>
      </c>
      <c r="E314" s="39">
        <f aca="true" t="shared" si="14" ref="E314:I315">E307*E311/1000</f>
        <v>0</v>
      </c>
      <c r="F314" s="39">
        <f t="shared" si="14"/>
        <v>0</v>
      </c>
      <c r="G314" s="39">
        <f t="shared" si="14"/>
        <v>0</v>
      </c>
      <c r="H314" s="41">
        <f t="shared" si="14"/>
        <v>0</v>
      </c>
      <c r="I314" s="39">
        <f t="shared" si="14"/>
        <v>0</v>
      </c>
      <c r="J314" s="42"/>
    </row>
    <row r="315" spans="1:10" ht="14.25">
      <c r="A315" s="39" t="s">
        <v>102</v>
      </c>
      <c r="B315" s="40" t="s">
        <v>292</v>
      </c>
      <c r="C315" s="54" t="s">
        <v>1408</v>
      </c>
      <c r="D315" s="39" t="s">
        <v>234</v>
      </c>
      <c r="E315" s="39">
        <f t="shared" si="14"/>
        <v>0</v>
      </c>
      <c r="F315" s="39">
        <f t="shared" si="14"/>
        <v>0</v>
      </c>
      <c r="G315" s="39">
        <f t="shared" si="14"/>
        <v>0</v>
      </c>
      <c r="H315" s="41">
        <f t="shared" si="14"/>
        <v>0</v>
      </c>
      <c r="I315" s="39">
        <f t="shared" si="14"/>
        <v>0</v>
      </c>
      <c r="J315" s="42"/>
    </row>
    <row r="316" spans="1:10" ht="14.25">
      <c r="A316" s="549"/>
      <c r="B316" s="57"/>
      <c r="C316" s="319"/>
      <c r="D316" s="56"/>
      <c r="E316" s="56"/>
      <c r="F316" s="56"/>
      <c r="G316" s="56"/>
      <c r="H316" s="355"/>
      <c r="I316" s="56"/>
      <c r="J316" s="550"/>
    </row>
    <row r="317" spans="1:10" ht="14.25">
      <c r="A317" s="477" t="s">
        <v>323</v>
      </c>
      <c r="B317" s="478" t="s">
        <v>736</v>
      </c>
      <c r="C317" s="780"/>
      <c r="D317" s="473"/>
      <c r="E317" s="266"/>
      <c r="F317" s="266"/>
      <c r="G317" s="266"/>
      <c r="H317" s="339"/>
      <c r="I317" s="410"/>
      <c r="J317" s="626"/>
    </row>
    <row r="318" spans="1:10" ht="14.25">
      <c r="A318" s="96" t="s">
        <v>43</v>
      </c>
      <c r="B318" s="89" t="s">
        <v>891</v>
      </c>
      <c r="C318" s="493" t="s">
        <v>890</v>
      </c>
      <c r="D318" s="92" t="s">
        <v>889</v>
      </c>
      <c r="E318" s="367"/>
      <c r="F318" s="367"/>
      <c r="G318" s="367"/>
      <c r="H318" s="371">
        <f>_xlfn.IFERROR(_xlfn.AVERAGEIF(E318:G318,"&gt;0",E318:G318),0)</f>
        <v>0</v>
      </c>
      <c r="I318" s="313"/>
      <c r="J318" s="620"/>
    </row>
    <row r="319" spans="1:10" ht="14.25">
      <c r="A319" s="96" t="s">
        <v>44</v>
      </c>
      <c r="B319" s="89" t="s">
        <v>264</v>
      </c>
      <c r="C319" s="90" t="s">
        <v>1088</v>
      </c>
      <c r="D319" s="92" t="s">
        <v>328</v>
      </c>
      <c r="E319" s="367"/>
      <c r="F319" s="367"/>
      <c r="G319" s="367"/>
      <c r="H319" s="371">
        <f>_xlfn.IFERROR(_xlfn.AVERAGEIF(E319:G319,"&gt;0",E319:G319),0)</f>
        <v>0</v>
      </c>
      <c r="I319" s="313"/>
      <c r="J319" s="620"/>
    </row>
    <row r="320" spans="1:10" ht="14.25">
      <c r="A320" s="96" t="s">
        <v>45</v>
      </c>
      <c r="B320" s="89" t="s">
        <v>257</v>
      </c>
      <c r="C320" s="90" t="s">
        <v>1088</v>
      </c>
      <c r="D320" s="92" t="s">
        <v>328</v>
      </c>
      <c r="E320" s="367"/>
      <c r="F320" s="367"/>
      <c r="G320" s="367"/>
      <c r="H320" s="371">
        <f>_xlfn.IFERROR(_xlfn.AVERAGEIF(E320:G320,"&gt;0",E320:G320),0)</f>
        <v>0</v>
      </c>
      <c r="I320" s="313"/>
      <c r="J320" s="620"/>
    </row>
    <row r="321" spans="1:10" ht="14.25">
      <c r="A321" s="96" t="s">
        <v>46</v>
      </c>
      <c r="B321" s="89" t="s">
        <v>26</v>
      </c>
      <c r="C321" s="90" t="s">
        <v>111</v>
      </c>
      <c r="D321" s="92" t="s">
        <v>76</v>
      </c>
      <c r="E321" s="313">
        <v>0</v>
      </c>
      <c r="F321" s="313">
        <v>0</v>
      </c>
      <c r="G321" s="313">
        <v>0</v>
      </c>
      <c r="H321" s="371">
        <f>AVERAGEA(E321:G321)</f>
        <v>0</v>
      </c>
      <c r="I321" s="313"/>
      <c r="J321" s="620"/>
    </row>
    <row r="322" spans="1:10" ht="14.25">
      <c r="A322" s="96" t="s">
        <v>47</v>
      </c>
      <c r="B322" s="89" t="s">
        <v>1128</v>
      </c>
      <c r="C322" s="90" t="s">
        <v>1153</v>
      </c>
      <c r="D322" s="92" t="s">
        <v>3</v>
      </c>
      <c r="E322" s="367"/>
      <c r="F322" s="367"/>
      <c r="G322" s="367"/>
      <c r="H322" s="371">
        <f>_xlfn.IFERROR(_xlfn.AVERAGEIF(E322:G322,"&gt;0",E322:G322),0)</f>
        <v>0</v>
      </c>
      <c r="I322" s="313"/>
      <c r="J322" s="620"/>
    </row>
    <row r="323" spans="1:10" ht="14.25">
      <c r="A323" s="96" t="s">
        <v>48</v>
      </c>
      <c r="B323" s="89" t="s">
        <v>27</v>
      </c>
      <c r="C323" s="90" t="s">
        <v>111</v>
      </c>
      <c r="D323" s="92" t="s">
        <v>76</v>
      </c>
      <c r="E323" s="313">
        <v>0</v>
      </c>
      <c r="F323" s="313">
        <v>0</v>
      </c>
      <c r="G323" s="313">
        <v>0</v>
      </c>
      <c r="H323" s="371">
        <f>AVERAGEA(E323:G323)</f>
        <v>0</v>
      </c>
      <c r="I323" s="313"/>
      <c r="J323" s="620"/>
    </row>
    <row r="324" spans="1:10" ht="15" thickBot="1">
      <c r="A324" s="207" t="s">
        <v>49</v>
      </c>
      <c r="B324" s="89" t="s">
        <v>290</v>
      </c>
      <c r="C324" s="90" t="s">
        <v>183</v>
      </c>
      <c r="D324" s="92" t="s">
        <v>76</v>
      </c>
      <c r="E324" s="313">
        <v>0</v>
      </c>
      <c r="F324" s="313">
        <v>0</v>
      </c>
      <c r="G324" s="313">
        <v>0</v>
      </c>
      <c r="H324" s="371">
        <f>AVERAGEA(E324:G324)</f>
        <v>0</v>
      </c>
      <c r="I324" s="313"/>
      <c r="J324" s="620"/>
    </row>
    <row r="325" spans="1:10" ht="15" thickBot="1">
      <c r="A325" s="39" t="s">
        <v>50</v>
      </c>
      <c r="B325" s="40" t="s">
        <v>69</v>
      </c>
      <c r="C325" s="54" t="s">
        <v>1407</v>
      </c>
      <c r="D325" s="39" t="s">
        <v>76</v>
      </c>
      <c r="E325" s="39">
        <f>E323+E324</f>
        <v>0</v>
      </c>
      <c r="F325" s="39">
        <f>F323+F324</f>
        <v>0</v>
      </c>
      <c r="G325" s="39">
        <f>G323+G324</f>
        <v>0</v>
      </c>
      <c r="H325" s="41">
        <f>H323+H324</f>
        <v>0</v>
      </c>
      <c r="I325" s="39">
        <f>I323+I324</f>
        <v>0</v>
      </c>
      <c r="J325" s="42"/>
    </row>
    <row r="326" spans="1:10" ht="15" thickBot="1">
      <c r="A326" s="39" t="s">
        <v>101</v>
      </c>
      <c r="B326" s="40" t="s">
        <v>291</v>
      </c>
      <c r="C326" s="54" t="s">
        <v>1108</v>
      </c>
      <c r="D326" s="39" t="s">
        <v>234</v>
      </c>
      <c r="E326" s="39">
        <f aca="true" t="shared" si="15" ref="E326:I327">E319*E323/1000</f>
        <v>0</v>
      </c>
      <c r="F326" s="39">
        <f t="shared" si="15"/>
        <v>0</v>
      </c>
      <c r="G326" s="39">
        <f t="shared" si="15"/>
        <v>0</v>
      </c>
      <c r="H326" s="41">
        <f t="shared" si="15"/>
        <v>0</v>
      </c>
      <c r="I326" s="39">
        <f t="shared" si="15"/>
        <v>0</v>
      </c>
      <c r="J326" s="42"/>
    </row>
    <row r="327" spans="1:10" ht="14.25">
      <c r="A327" s="39" t="s">
        <v>102</v>
      </c>
      <c r="B327" s="40" t="s">
        <v>292</v>
      </c>
      <c r="C327" s="54" t="s">
        <v>1408</v>
      </c>
      <c r="D327" s="39" t="s">
        <v>234</v>
      </c>
      <c r="E327" s="39">
        <f t="shared" si="15"/>
        <v>0</v>
      </c>
      <c r="F327" s="39">
        <f t="shared" si="15"/>
        <v>0</v>
      </c>
      <c r="G327" s="39">
        <f t="shared" si="15"/>
        <v>0</v>
      </c>
      <c r="H327" s="41">
        <f t="shared" si="15"/>
        <v>0</v>
      </c>
      <c r="I327" s="39">
        <f t="shared" si="15"/>
        <v>0</v>
      </c>
      <c r="J327" s="42"/>
    </row>
    <row r="328" spans="1:10" ht="14.25">
      <c r="A328" s="549"/>
      <c r="B328" s="57"/>
      <c r="C328" s="319"/>
      <c r="D328" s="56"/>
      <c r="E328" s="56"/>
      <c r="F328" s="56"/>
      <c r="G328" s="56"/>
      <c r="H328" s="355"/>
      <c r="I328" s="56"/>
      <c r="J328" s="550"/>
    </row>
    <row r="329" spans="1:10" ht="14.25">
      <c r="A329" s="477" t="s">
        <v>324</v>
      </c>
      <c r="B329" s="478" t="s">
        <v>737</v>
      </c>
      <c r="C329" s="780"/>
      <c r="D329" s="473"/>
      <c r="E329" s="266"/>
      <c r="F329" s="266"/>
      <c r="G329" s="266"/>
      <c r="H329" s="339"/>
      <c r="I329" s="410"/>
      <c r="J329" s="626"/>
    </row>
    <row r="330" spans="1:10" ht="14.25">
      <c r="A330" s="96" t="s">
        <v>43</v>
      </c>
      <c r="B330" s="89" t="s">
        <v>891</v>
      </c>
      <c r="C330" s="493" t="s">
        <v>890</v>
      </c>
      <c r="D330" s="92" t="s">
        <v>889</v>
      </c>
      <c r="E330" s="367"/>
      <c r="F330" s="367"/>
      <c r="G330" s="367"/>
      <c r="H330" s="371">
        <f>_xlfn.IFERROR(_xlfn.AVERAGEIF(E330:G330,"&gt;0",E330:G330),0)</f>
        <v>0</v>
      </c>
      <c r="I330" s="313"/>
      <c r="J330" s="620"/>
    </row>
    <row r="331" spans="1:10" ht="14.25">
      <c r="A331" s="96" t="s">
        <v>44</v>
      </c>
      <c r="B331" s="89" t="s">
        <v>264</v>
      </c>
      <c r="C331" s="90" t="s">
        <v>1088</v>
      </c>
      <c r="D331" s="92" t="s">
        <v>328</v>
      </c>
      <c r="E331" s="367"/>
      <c r="F331" s="367"/>
      <c r="G331" s="367"/>
      <c r="H331" s="371">
        <f>_xlfn.IFERROR(_xlfn.AVERAGEIF(E331:G331,"&gt;0",E331:G331),0)</f>
        <v>0</v>
      </c>
      <c r="I331" s="313"/>
      <c r="J331" s="620"/>
    </row>
    <row r="332" spans="1:10" ht="14.25">
      <c r="A332" s="96" t="s">
        <v>45</v>
      </c>
      <c r="B332" s="89" t="s">
        <v>257</v>
      </c>
      <c r="C332" s="90" t="s">
        <v>1088</v>
      </c>
      <c r="D332" s="92" t="s">
        <v>328</v>
      </c>
      <c r="E332" s="367"/>
      <c r="F332" s="367"/>
      <c r="G332" s="367"/>
      <c r="H332" s="371">
        <f>_xlfn.IFERROR(_xlfn.AVERAGEIF(E332:G332,"&gt;0",E332:G332),0)</f>
        <v>0</v>
      </c>
      <c r="I332" s="313"/>
      <c r="J332" s="620"/>
    </row>
    <row r="333" spans="1:10" ht="14.25">
      <c r="A333" s="96" t="s">
        <v>46</v>
      </c>
      <c r="B333" s="89" t="s">
        <v>26</v>
      </c>
      <c r="C333" s="90" t="s">
        <v>111</v>
      </c>
      <c r="D333" s="92" t="s">
        <v>76</v>
      </c>
      <c r="E333" s="313">
        <v>0</v>
      </c>
      <c r="F333" s="313">
        <v>0</v>
      </c>
      <c r="G333" s="313">
        <v>0</v>
      </c>
      <c r="H333" s="371">
        <f>AVERAGEA(E333:G333)</f>
        <v>0</v>
      </c>
      <c r="I333" s="313"/>
      <c r="J333" s="620"/>
    </row>
    <row r="334" spans="1:10" ht="14.25">
      <c r="A334" s="96" t="s">
        <v>47</v>
      </c>
      <c r="B334" s="89" t="s">
        <v>1128</v>
      </c>
      <c r="C334" s="90" t="s">
        <v>1153</v>
      </c>
      <c r="D334" s="92" t="s">
        <v>3</v>
      </c>
      <c r="E334" s="367"/>
      <c r="F334" s="367"/>
      <c r="G334" s="367"/>
      <c r="H334" s="371">
        <f>_xlfn.IFERROR(_xlfn.AVERAGEIF(E334:G334,"&gt;0",E334:G334),0)</f>
        <v>0</v>
      </c>
      <c r="I334" s="313"/>
      <c r="J334" s="620"/>
    </row>
    <row r="335" spans="1:10" ht="14.25">
      <c r="A335" s="96" t="s">
        <v>48</v>
      </c>
      <c r="B335" s="89" t="s">
        <v>27</v>
      </c>
      <c r="C335" s="90" t="s">
        <v>111</v>
      </c>
      <c r="D335" s="92" t="s">
        <v>76</v>
      </c>
      <c r="E335" s="313">
        <v>0</v>
      </c>
      <c r="F335" s="313">
        <v>0</v>
      </c>
      <c r="G335" s="313">
        <v>0</v>
      </c>
      <c r="H335" s="371">
        <f>AVERAGEA(E335:G335)</f>
        <v>0</v>
      </c>
      <c r="I335" s="313"/>
      <c r="J335" s="620"/>
    </row>
    <row r="336" spans="1:10" ht="15" thickBot="1">
      <c r="A336" s="96" t="s">
        <v>49</v>
      </c>
      <c r="B336" s="89" t="s">
        <v>290</v>
      </c>
      <c r="C336" s="90" t="s">
        <v>183</v>
      </c>
      <c r="D336" s="92" t="s">
        <v>76</v>
      </c>
      <c r="E336" s="313">
        <v>0</v>
      </c>
      <c r="F336" s="313">
        <v>0</v>
      </c>
      <c r="G336" s="313">
        <v>0</v>
      </c>
      <c r="H336" s="371">
        <f>AVERAGEA(E336:G336)</f>
        <v>0</v>
      </c>
      <c r="I336" s="313"/>
      <c r="J336" s="620"/>
    </row>
    <row r="337" spans="1:10" ht="15" thickBot="1">
      <c r="A337" s="39" t="s">
        <v>50</v>
      </c>
      <c r="B337" s="40" t="s">
        <v>69</v>
      </c>
      <c r="C337" s="54" t="s">
        <v>1407</v>
      </c>
      <c r="D337" s="39" t="s">
        <v>76</v>
      </c>
      <c r="E337" s="39">
        <f>E335+E336</f>
        <v>0</v>
      </c>
      <c r="F337" s="39">
        <f>F335+F336</f>
        <v>0</v>
      </c>
      <c r="G337" s="39">
        <f>G335+G336</f>
        <v>0</v>
      </c>
      <c r="H337" s="41">
        <f>H335+H336</f>
        <v>0</v>
      </c>
      <c r="I337" s="39">
        <f>I335+I336</f>
        <v>0</v>
      </c>
      <c r="J337" s="42"/>
    </row>
    <row r="338" spans="1:10" ht="15" thickBot="1">
      <c r="A338" s="39" t="s">
        <v>101</v>
      </c>
      <c r="B338" s="40" t="s">
        <v>291</v>
      </c>
      <c r="C338" s="54" t="s">
        <v>1108</v>
      </c>
      <c r="D338" s="39" t="s">
        <v>234</v>
      </c>
      <c r="E338" s="39">
        <f aca="true" t="shared" si="16" ref="E338:I339">E331*E335/1000</f>
        <v>0</v>
      </c>
      <c r="F338" s="39">
        <f t="shared" si="16"/>
        <v>0</v>
      </c>
      <c r="G338" s="39">
        <f t="shared" si="16"/>
        <v>0</v>
      </c>
      <c r="H338" s="41">
        <f t="shared" si="16"/>
        <v>0</v>
      </c>
      <c r="I338" s="39">
        <f t="shared" si="16"/>
        <v>0</v>
      </c>
      <c r="J338" s="42"/>
    </row>
    <row r="339" spans="1:10" ht="14.25">
      <c r="A339" s="39" t="s">
        <v>102</v>
      </c>
      <c r="B339" s="40" t="s">
        <v>292</v>
      </c>
      <c r="C339" s="54" t="s">
        <v>1408</v>
      </c>
      <c r="D339" s="39" t="s">
        <v>234</v>
      </c>
      <c r="E339" s="39">
        <f t="shared" si="16"/>
        <v>0</v>
      </c>
      <c r="F339" s="39">
        <f t="shared" si="16"/>
        <v>0</v>
      </c>
      <c r="G339" s="39">
        <f t="shared" si="16"/>
        <v>0</v>
      </c>
      <c r="H339" s="41">
        <f t="shared" si="16"/>
        <v>0</v>
      </c>
      <c r="I339" s="39">
        <f t="shared" si="16"/>
        <v>0</v>
      </c>
      <c r="J339" s="42"/>
    </row>
    <row r="340" spans="1:10" ht="14.25">
      <c r="A340" s="549"/>
      <c r="B340" s="57"/>
      <c r="C340" s="319"/>
      <c r="D340" s="56"/>
      <c r="E340" s="56"/>
      <c r="F340" s="56"/>
      <c r="G340" s="56"/>
      <c r="H340" s="355"/>
      <c r="I340" s="56"/>
      <c r="J340" s="550"/>
    </row>
    <row r="341" spans="1:10" ht="46.5" customHeight="1">
      <c r="A341" s="477" t="s">
        <v>738</v>
      </c>
      <c r="B341" s="478" t="s">
        <v>107</v>
      </c>
      <c r="C341" s="886" t="s">
        <v>1120</v>
      </c>
      <c r="D341" s="886"/>
      <c r="E341" s="408"/>
      <c r="F341" s="408"/>
      <c r="G341" s="408"/>
      <c r="H341" s="339"/>
      <c r="I341" s="410"/>
      <c r="J341" s="626"/>
    </row>
    <row r="342" spans="1:10" ht="14.25">
      <c r="A342" s="96" t="s">
        <v>43</v>
      </c>
      <c r="B342" s="89" t="s">
        <v>891</v>
      </c>
      <c r="C342" s="494" t="s">
        <v>890</v>
      </c>
      <c r="D342" s="92" t="s">
        <v>889</v>
      </c>
      <c r="E342" s="367"/>
      <c r="F342" s="367"/>
      <c r="G342" s="367"/>
      <c r="H342" s="371">
        <f>_xlfn.IFERROR(_xlfn.AVERAGEIF(E342:G342,"&gt;0",E342:G342),0)</f>
        <v>0</v>
      </c>
      <c r="I342" s="313"/>
      <c r="J342" s="620"/>
    </row>
    <row r="343" spans="1:10" ht="14.25">
      <c r="A343" s="96" t="s">
        <v>44</v>
      </c>
      <c r="B343" s="89" t="s">
        <v>29</v>
      </c>
      <c r="C343" s="90" t="s">
        <v>1088</v>
      </c>
      <c r="D343" s="92" t="s">
        <v>328</v>
      </c>
      <c r="E343" s="367"/>
      <c r="F343" s="367"/>
      <c r="G343" s="367"/>
      <c r="H343" s="371">
        <f>_xlfn.IFERROR(_xlfn.AVERAGEIF(E343:G343,"&gt;0",E343:G343),0)</f>
        <v>0</v>
      </c>
      <c r="I343" s="313"/>
      <c r="J343" s="620"/>
    </row>
    <row r="344" spans="1:10" ht="14.25">
      <c r="A344" s="96" t="s">
        <v>45</v>
      </c>
      <c r="B344" s="89" t="s">
        <v>26</v>
      </c>
      <c r="C344" s="90" t="s">
        <v>111</v>
      </c>
      <c r="D344" s="92" t="s">
        <v>76</v>
      </c>
      <c r="E344" s="313">
        <v>0</v>
      </c>
      <c r="F344" s="313">
        <v>0</v>
      </c>
      <c r="G344" s="313">
        <v>0</v>
      </c>
      <c r="H344" s="371">
        <f>AVERAGEA(E344:G344)</f>
        <v>0</v>
      </c>
      <c r="I344" s="313"/>
      <c r="J344" s="620"/>
    </row>
    <row r="345" spans="1:10" ht="14.25">
      <c r="A345" s="96" t="s">
        <v>46</v>
      </c>
      <c r="B345" s="89" t="s">
        <v>1128</v>
      </c>
      <c r="C345" s="90" t="s">
        <v>1127</v>
      </c>
      <c r="D345" s="92" t="s">
        <v>3</v>
      </c>
      <c r="E345" s="367"/>
      <c r="F345" s="367"/>
      <c r="G345" s="367"/>
      <c r="H345" s="371">
        <f>_xlfn.IFERROR(_xlfn.AVERAGEIF(E345:G345,"&gt;0",E345:G345),0)</f>
        <v>0</v>
      </c>
      <c r="I345" s="313"/>
      <c r="J345" s="620"/>
    </row>
    <row r="346" spans="1:10" ht="14.25">
      <c r="A346" s="452" t="s">
        <v>47</v>
      </c>
      <c r="B346" s="89" t="s">
        <v>70</v>
      </c>
      <c r="C346" s="90" t="s">
        <v>111</v>
      </c>
      <c r="D346" s="92" t="s">
        <v>76</v>
      </c>
      <c r="E346" s="313">
        <v>0</v>
      </c>
      <c r="F346" s="313">
        <v>0</v>
      </c>
      <c r="G346" s="313">
        <v>0</v>
      </c>
      <c r="H346" s="371">
        <f>AVERAGEA(E346:G346)</f>
        <v>0</v>
      </c>
      <c r="I346" s="313"/>
      <c r="J346" s="620"/>
    </row>
    <row r="347" spans="1:10" ht="15" thickBot="1">
      <c r="A347" s="452" t="s">
        <v>48</v>
      </c>
      <c r="B347" s="453" t="s">
        <v>30</v>
      </c>
      <c r="C347" s="454" t="s">
        <v>111</v>
      </c>
      <c r="D347" s="474" t="s">
        <v>76</v>
      </c>
      <c r="E347" s="313">
        <v>0</v>
      </c>
      <c r="F347" s="313">
        <v>0</v>
      </c>
      <c r="G347" s="313">
        <v>0</v>
      </c>
      <c r="H347" s="371">
        <f>AVERAGEA(E347:G347)</f>
        <v>0</v>
      </c>
      <c r="I347" s="313"/>
      <c r="J347" s="620"/>
    </row>
    <row r="348" spans="1:10" ht="15" thickBot="1">
      <c r="A348" s="51" t="s">
        <v>49</v>
      </c>
      <c r="B348" s="59" t="s">
        <v>69</v>
      </c>
      <c r="C348" s="335" t="s">
        <v>1106</v>
      </c>
      <c r="D348" s="51" t="s">
        <v>76</v>
      </c>
      <c r="E348" s="51">
        <f>E346+E347</f>
        <v>0</v>
      </c>
      <c r="F348" s="51">
        <f>F346+F347</f>
        <v>0</v>
      </c>
      <c r="G348" s="51">
        <f>G346+G347</f>
        <v>0</v>
      </c>
      <c r="H348" s="356">
        <f>H346+H347</f>
        <v>0</v>
      </c>
      <c r="I348" s="51">
        <f>I346+I347</f>
        <v>0</v>
      </c>
      <c r="J348" s="51"/>
    </row>
    <row r="349" spans="1:10" ht="15" thickBot="1">
      <c r="A349" s="51" t="s">
        <v>50</v>
      </c>
      <c r="B349" s="59" t="s">
        <v>291</v>
      </c>
      <c r="C349" s="335" t="s">
        <v>1107</v>
      </c>
      <c r="D349" s="51" t="s">
        <v>234</v>
      </c>
      <c r="E349" s="51">
        <f>E343*E346/1000</f>
        <v>0</v>
      </c>
      <c r="F349" s="51">
        <f>F343*F346/1000</f>
        <v>0</v>
      </c>
      <c r="G349" s="51">
        <f>G343*G346/1000</f>
        <v>0</v>
      </c>
      <c r="H349" s="356">
        <f>H343*H346/1000</f>
        <v>0</v>
      </c>
      <c r="I349" s="51">
        <f>I343*I346/1000</f>
        <v>0</v>
      </c>
      <c r="J349" s="51"/>
    </row>
    <row r="350" spans="1:10" ht="15" thickBot="1">
      <c r="A350" s="51" t="s">
        <v>101</v>
      </c>
      <c r="B350" s="59" t="s">
        <v>292</v>
      </c>
      <c r="C350" s="335" t="s">
        <v>1108</v>
      </c>
      <c r="D350" s="51" t="s">
        <v>234</v>
      </c>
      <c r="E350" s="51">
        <f>E343*E347/1000</f>
        <v>0</v>
      </c>
      <c r="F350" s="51">
        <f>F343*F347/1000</f>
        <v>0</v>
      </c>
      <c r="G350" s="51">
        <f>G343*G347/1000</f>
        <v>0</v>
      </c>
      <c r="H350" s="356">
        <f>H343*H347/1000</f>
        <v>0</v>
      </c>
      <c r="I350" s="51">
        <f>I343*I347/1000</f>
        <v>0</v>
      </c>
      <c r="J350" s="51"/>
    </row>
    <row r="351" spans="1:10" ht="60" customHeight="1">
      <c r="A351" s="495" t="s">
        <v>739</v>
      </c>
      <c r="B351" s="496" t="s">
        <v>265</v>
      </c>
      <c r="C351" s="891" t="s">
        <v>1121</v>
      </c>
      <c r="D351" s="891"/>
      <c r="E351" s="409"/>
      <c r="F351" s="409"/>
      <c r="G351" s="409"/>
      <c r="H351" s="357"/>
      <c r="I351" s="338"/>
      <c r="J351" s="633"/>
    </row>
    <row r="352" spans="1:10" ht="14.25">
      <c r="A352" s="96" t="s">
        <v>43</v>
      </c>
      <c r="B352" s="89" t="s">
        <v>891</v>
      </c>
      <c r="C352" s="494" t="s">
        <v>890</v>
      </c>
      <c r="D352" s="92" t="s">
        <v>889</v>
      </c>
      <c r="E352" s="367"/>
      <c r="F352" s="367"/>
      <c r="G352" s="367"/>
      <c r="H352" s="371">
        <f>_xlfn.IFERROR(_xlfn.AVERAGEIF(E352:G352,"&gt;0",E352:G352),0)</f>
        <v>0</v>
      </c>
      <c r="I352" s="313"/>
      <c r="J352" s="620"/>
    </row>
    <row r="353" spans="1:10" ht="14.25">
      <c r="A353" s="96" t="s">
        <v>44</v>
      </c>
      <c r="B353" s="89" t="s">
        <v>29</v>
      </c>
      <c r="C353" s="90" t="s">
        <v>1088</v>
      </c>
      <c r="D353" s="92" t="s">
        <v>328</v>
      </c>
      <c r="E353" s="367"/>
      <c r="F353" s="367"/>
      <c r="G353" s="534"/>
      <c r="H353" s="538">
        <f>_xlfn.IFERROR(_xlfn.AVERAGEIF(E353:G353,"&gt;0",E353:G353),0)</f>
        <v>0</v>
      </c>
      <c r="I353" s="313"/>
      <c r="J353" s="620"/>
    </row>
    <row r="354" spans="1:10" ht="14.25">
      <c r="A354" s="96" t="s">
        <v>45</v>
      </c>
      <c r="B354" s="89" t="s">
        <v>26</v>
      </c>
      <c r="C354" s="90" t="s">
        <v>111</v>
      </c>
      <c r="D354" s="92" t="s">
        <v>76</v>
      </c>
      <c r="E354" s="313">
        <v>0</v>
      </c>
      <c r="F354" s="313">
        <v>0</v>
      </c>
      <c r="G354" s="533">
        <v>0</v>
      </c>
      <c r="H354" s="538">
        <f>AVERAGEA(E354:G354)</f>
        <v>0</v>
      </c>
      <c r="I354" s="313"/>
      <c r="J354" s="620"/>
    </row>
    <row r="355" spans="1:10" ht="14.25">
      <c r="A355" s="96" t="s">
        <v>46</v>
      </c>
      <c r="B355" s="89" t="s">
        <v>1128</v>
      </c>
      <c r="C355" s="90" t="s">
        <v>1127</v>
      </c>
      <c r="D355" s="92" t="s">
        <v>3</v>
      </c>
      <c r="E355" s="367"/>
      <c r="F355" s="367"/>
      <c r="G355" s="534"/>
      <c r="H355" s="538">
        <f>_xlfn.IFERROR(_xlfn.AVERAGEIF(E355:G355,"&gt;0",E355:G355),0)</f>
        <v>0</v>
      </c>
      <c r="I355" s="313"/>
      <c r="J355" s="620"/>
    </row>
    <row r="356" spans="1:10" ht="14.25">
      <c r="A356" s="452" t="s">
        <v>47</v>
      </c>
      <c r="B356" s="453" t="s">
        <v>70</v>
      </c>
      <c r="C356" s="454" t="s">
        <v>111</v>
      </c>
      <c r="D356" s="474" t="s">
        <v>76</v>
      </c>
      <c r="E356" s="313">
        <v>0</v>
      </c>
      <c r="F356" s="313">
        <v>0</v>
      </c>
      <c r="G356" s="533">
        <v>0</v>
      </c>
      <c r="H356" s="538">
        <f>AVERAGEA(E356:G356)</f>
        <v>0</v>
      </c>
      <c r="I356" s="313"/>
      <c r="J356" s="620"/>
    </row>
    <row r="357" spans="1:10" ht="15" thickBot="1">
      <c r="A357" s="549" t="s">
        <v>48</v>
      </c>
      <c r="B357" s="57" t="s">
        <v>30</v>
      </c>
      <c r="C357" s="319" t="s">
        <v>111</v>
      </c>
      <c r="D357" s="56" t="s">
        <v>76</v>
      </c>
      <c r="E357" s="313">
        <v>0</v>
      </c>
      <c r="F357" s="313">
        <v>0</v>
      </c>
      <c r="G357" s="533">
        <v>0</v>
      </c>
      <c r="H357" s="538">
        <f>AVERAGEA(E357:G357)</f>
        <v>0</v>
      </c>
      <c r="I357" s="313"/>
      <c r="J357" s="620"/>
    </row>
    <row r="358" spans="1:10" ht="15" thickBot="1">
      <c r="A358" s="317" t="s">
        <v>49</v>
      </c>
      <c r="B358" s="318" t="s">
        <v>69</v>
      </c>
      <c r="C358" s="335" t="s">
        <v>1106</v>
      </c>
      <c r="D358" s="317" t="s">
        <v>76</v>
      </c>
      <c r="E358" s="317">
        <f>E356+E357</f>
        <v>0</v>
      </c>
      <c r="F358" s="317">
        <f>F356+F357</f>
        <v>0</v>
      </c>
      <c r="G358" s="535">
        <f>G356+G357</f>
        <v>0</v>
      </c>
      <c r="H358" s="537">
        <f>H356+H357</f>
        <v>0</v>
      </c>
      <c r="I358" s="536">
        <f>I356+I357</f>
        <v>0</v>
      </c>
      <c r="J358" s="536"/>
    </row>
    <row r="359" spans="1:10" ht="15" thickBot="1">
      <c r="A359" s="51" t="s">
        <v>50</v>
      </c>
      <c r="B359" s="59" t="s">
        <v>291</v>
      </c>
      <c r="C359" s="335" t="s">
        <v>1107</v>
      </c>
      <c r="D359" s="51" t="s">
        <v>234</v>
      </c>
      <c r="E359" s="51">
        <f>E353*E356/1000</f>
        <v>0</v>
      </c>
      <c r="F359" s="51">
        <f>F353*F356/1000</f>
        <v>0</v>
      </c>
      <c r="G359" s="51">
        <f>G353*G356/1000</f>
        <v>0</v>
      </c>
      <c r="H359" s="358">
        <f>H353*H356/1000</f>
        <v>0</v>
      </c>
      <c r="I359" s="51">
        <f>I353*I356/1000</f>
        <v>0</v>
      </c>
      <c r="J359" s="51"/>
    </row>
    <row r="360" spans="1:10" ht="15" thickBot="1">
      <c r="A360" s="51" t="s">
        <v>101</v>
      </c>
      <c r="B360" s="59" t="s">
        <v>292</v>
      </c>
      <c r="C360" s="335" t="s">
        <v>1108</v>
      </c>
      <c r="D360" s="51" t="s">
        <v>234</v>
      </c>
      <c r="E360" s="51">
        <f>E353*E357/1000</f>
        <v>0</v>
      </c>
      <c r="F360" s="51">
        <f>F353*F357/1000</f>
        <v>0</v>
      </c>
      <c r="G360" s="51">
        <f>G353*G357/1000</f>
        <v>0</v>
      </c>
      <c r="H360" s="356">
        <f>H353*H357/1000</f>
        <v>0</v>
      </c>
      <c r="I360" s="51">
        <f>I353*I357/1000</f>
        <v>0</v>
      </c>
      <c r="J360" s="51"/>
    </row>
    <row r="361" spans="1:10" ht="111" customHeight="1" thickBot="1">
      <c r="A361" s="51" t="s">
        <v>740</v>
      </c>
      <c r="B361" s="672" t="s">
        <v>537</v>
      </c>
      <c r="C361" s="335" t="s">
        <v>1410</v>
      </c>
      <c r="D361" s="51" t="s">
        <v>234</v>
      </c>
      <c r="E361" s="51">
        <f>IF(E204="yes",E254+E266+E278+E290+E302+E314+E326+E338+E349+E359,E254+E266+E278+E290+E302+E314+E326+E338)</f>
        <v>0</v>
      </c>
      <c r="F361" s="51">
        <f>IF(F204="yes",F254+F266+F278+F290+F302+F314+F326+F338+F349+F359,F254+F266+F278+F290+F302+F314+F326+F338)</f>
        <v>0</v>
      </c>
      <c r="G361" s="51">
        <f>IF(G204="yes",G254+G266+G278+G290+G302+G314+G326+G338+G349+G359,G254+G266+G278+G290+G302+G314+G326+G338)</f>
        <v>0</v>
      </c>
      <c r="H361" s="356">
        <f>IF(H204="yes",H254+H266+H278+H290+H302+H314+H326+H338+H349+H359,H254+H266+H278+H290+H302+H314+H326+H338)</f>
        <v>0</v>
      </c>
      <c r="I361" s="51">
        <f>IF(I204="yes",I254+I266+I278+I290+I302+I314+I326+I338+I349+I359,I254+I266+I278+I290+I302+I314+I326+I338)</f>
        <v>0</v>
      </c>
      <c r="J361" s="51"/>
    </row>
    <row r="362" spans="1:10" ht="42.75">
      <c r="A362" s="42" t="s">
        <v>741</v>
      </c>
      <c r="B362" s="316" t="s">
        <v>538</v>
      </c>
      <c r="C362" s="336" t="s">
        <v>1409</v>
      </c>
      <c r="D362" s="42" t="s">
        <v>234</v>
      </c>
      <c r="E362" s="42">
        <f>E255+E267+E279+E291+E303+E315+E327+E339</f>
        <v>0</v>
      </c>
      <c r="F362" s="42">
        <f>F255+F267+F279+F291+F303+F315+F327+F339</f>
        <v>0</v>
      </c>
      <c r="G362" s="42">
        <f>G255+G267+G279+G291+G303+G315+G327+G339</f>
        <v>0</v>
      </c>
      <c r="H362" s="359">
        <f>H255+H267+H279+H291+H303+H315+H327+H339</f>
        <v>0</v>
      </c>
      <c r="I362" s="42">
        <f>I255+I267+I279+I291+I303+I315+I327+I339</f>
        <v>0</v>
      </c>
      <c r="J362" s="42"/>
    </row>
    <row r="363" spans="1:10" ht="14.25">
      <c r="A363" s="552"/>
      <c r="B363" s="57"/>
      <c r="C363" s="319"/>
      <c r="D363" s="56"/>
      <c r="E363" s="57"/>
      <c r="F363" s="57"/>
      <c r="G363" s="57"/>
      <c r="H363" s="360"/>
      <c r="I363" s="57"/>
      <c r="J363" s="551"/>
    </row>
    <row r="364" spans="1:10" ht="14.25">
      <c r="A364" s="497" t="s">
        <v>38</v>
      </c>
      <c r="B364" s="498" t="s">
        <v>11</v>
      </c>
      <c r="C364" s="499"/>
      <c r="D364" s="500"/>
      <c r="E364" s="277"/>
      <c r="F364" s="277"/>
      <c r="G364" s="277"/>
      <c r="H364" s="361"/>
      <c r="I364" s="278"/>
      <c r="J364" s="634"/>
    </row>
    <row r="365" spans="1:10" ht="14.25">
      <c r="A365" s="501" t="s">
        <v>39</v>
      </c>
      <c r="B365" s="502" t="s">
        <v>12</v>
      </c>
      <c r="C365" s="480"/>
      <c r="D365" s="92"/>
      <c r="E365" s="783"/>
      <c r="F365" s="783"/>
      <c r="G365" s="783"/>
      <c r="H365" s="38"/>
      <c r="I365" s="313"/>
      <c r="J365" s="620"/>
    </row>
    <row r="366" spans="1:10" ht="14.25">
      <c r="A366" s="96" t="s">
        <v>43</v>
      </c>
      <c r="B366" s="89" t="s">
        <v>891</v>
      </c>
      <c r="C366" s="494" t="s">
        <v>890</v>
      </c>
      <c r="D366" s="92" t="s">
        <v>889</v>
      </c>
      <c r="E366" s="367"/>
      <c r="F366" s="367"/>
      <c r="G366" s="367"/>
      <c r="H366" s="371">
        <f>_xlfn.IFERROR(_xlfn.AVERAGEIF(E366:G366,"&gt;0",E366:G366),0)</f>
        <v>0</v>
      </c>
      <c r="I366" s="313"/>
      <c r="J366" s="620"/>
    </row>
    <row r="367" spans="1:10" ht="14.25">
      <c r="A367" s="96" t="s">
        <v>44</v>
      </c>
      <c r="B367" s="89" t="s">
        <v>28</v>
      </c>
      <c r="C367" s="90" t="s">
        <v>1088</v>
      </c>
      <c r="D367" s="92" t="s">
        <v>328</v>
      </c>
      <c r="E367" s="367"/>
      <c r="F367" s="367"/>
      <c r="G367" s="367"/>
      <c r="H367" s="371">
        <f>_xlfn.IFERROR(_xlfn.AVERAGEIF(E367:G367,"&gt;0",E367:G367),0)</f>
        <v>0</v>
      </c>
      <c r="I367" s="313"/>
      <c r="J367" s="620"/>
    </row>
    <row r="368" spans="1:10" ht="14.25">
      <c r="A368" s="547" t="s">
        <v>45</v>
      </c>
      <c r="B368" s="89" t="s">
        <v>32</v>
      </c>
      <c r="C368" s="90" t="s">
        <v>1201</v>
      </c>
      <c r="D368" s="92" t="s">
        <v>114</v>
      </c>
      <c r="E368" s="313">
        <v>0</v>
      </c>
      <c r="F368" s="313">
        <v>0</v>
      </c>
      <c r="G368" s="313">
        <v>0</v>
      </c>
      <c r="H368" s="538">
        <f>AVERAGEA(E368:G368)</f>
        <v>0</v>
      </c>
      <c r="I368" s="313"/>
      <c r="J368" s="620"/>
    </row>
    <row r="369" spans="1:10" ht="14.25">
      <c r="A369" s="547" t="s">
        <v>46</v>
      </c>
      <c r="B369" s="89" t="s">
        <v>31</v>
      </c>
      <c r="C369" s="90" t="s">
        <v>111</v>
      </c>
      <c r="D369" s="92" t="s">
        <v>66</v>
      </c>
      <c r="E369" s="367"/>
      <c r="F369" s="367"/>
      <c r="G369" s="367"/>
      <c r="H369" s="538">
        <f>_xlfn.IFERROR(_xlfn.AVERAGEIF(E369:G369,"&gt;0",E369:G369),0)</f>
        <v>0</v>
      </c>
      <c r="I369" s="313"/>
      <c r="J369" s="620"/>
    </row>
    <row r="370" spans="1:10" ht="14.25">
      <c r="A370" s="547" t="s">
        <v>47</v>
      </c>
      <c r="B370" s="89" t="s">
        <v>293</v>
      </c>
      <c r="C370" s="90" t="s">
        <v>111</v>
      </c>
      <c r="D370" s="92" t="s">
        <v>114</v>
      </c>
      <c r="E370" s="313">
        <v>0</v>
      </c>
      <c r="F370" s="313">
        <v>0</v>
      </c>
      <c r="G370" s="313">
        <v>0</v>
      </c>
      <c r="H370" s="538">
        <f>AVERAGEA(E370:G370)</f>
        <v>0</v>
      </c>
      <c r="I370" s="313"/>
      <c r="J370" s="620"/>
    </row>
    <row r="371" spans="1:10" ht="14.25">
      <c r="A371" s="547" t="s">
        <v>48</v>
      </c>
      <c r="B371" s="89" t="s">
        <v>294</v>
      </c>
      <c r="C371" s="90" t="s">
        <v>111</v>
      </c>
      <c r="D371" s="92" t="s">
        <v>114</v>
      </c>
      <c r="E371" s="313">
        <v>0</v>
      </c>
      <c r="F371" s="313">
        <v>0</v>
      </c>
      <c r="G371" s="313">
        <v>0</v>
      </c>
      <c r="H371" s="538">
        <f>AVERAGEA(E371:G371)</f>
        <v>0</v>
      </c>
      <c r="I371" s="313"/>
      <c r="J371" s="620"/>
    </row>
    <row r="372" spans="1:10" ht="42.75">
      <c r="A372" s="547" t="s">
        <v>49</v>
      </c>
      <c r="B372" s="89" t="s">
        <v>30</v>
      </c>
      <c r="C372" s="90" t="s">
        <v>184</v>
      </c>
      <c r="D372" s="92" t="s">
        <v>114</v>
      </c>
      <c r="E372" s="313">
        <v>0</v>
      </c>
      <c r="F372" s="313">
        <v>0</v>
      </c>
      <c r="G372" s="313">
        <v>0</v>
      </c>
      <c r="H372" s="538">
        <f>AVERAGEA(E372:G372)</f>
        <v>0</v>
      </c>
      <c r="I372" s="313"/>
      <c r="J372" s="620"/>
    </row>
    <row r="373" spans="1:10" ht="15" thickBot="1">
      <c r="A373" s="543" t="s">
        <v>50</v>
      </c>
      <c r="B373" s="544" t="s">
        <v>539</v>
      </c>
      <c r="C373" s="373" t="s">
        <v>1109</v>
      </c>
      <c r="D373" s="543" t="s">
        <v>76</v>
      </c>
      <c r="E373" s="545">
        <f>(E370+E371+E372)*E369</f>
        <v>0</v>
      </c>
      <c r="F373" s="545">
        <f>(F370+F371+F372)*F369</f>
        <v>0</v>
      </c>
      <c r="G373" s="545">
        <f>(G370+G371+G372)*G369</f>
        <v>0</v>
      </c>
      <c r="H373" s="545">
        <f>(H370+H371+H372)*H369</f>
        <v>0</v>
      </c>
      <c r="I373" s="545">
        <f>(I370+I371+I372)*I369</f>
        <v>0</v>
      </c>
      <c r="J373" s="635"/>
    </row>
    <row r="374" spans="1:10" ht="30" customHeight="1" thickBot="1">
      <c r="A374" s="39" t="s">
        <v>101</v>
      </c>
      <c r="B374" s="52" t="s">
        <v>326</v>
      </c>
      <c r="C374" s="54" t="s">
        <v>1110</v>
      </c>
      <c r="D374" s="39" t="s">
        <v>234</v>
      </c>
      <c r="E374" s="41">
        <f>((E370)*E369)*E367/1000</f>
        <v>0</v>
      </c>
      <c r="F374" s="41">
        <f>((F370)*F369)*F367/1000</f>
        <v>0</v>
      </c>
      <c r="G374" s="41">
        <f>((G370)*G369)*G367/1000</f>
        <v>0</v>
      </c>
      <c r="H374" s="41">
        <f>((H370)*H369)*H367/1000</f>
        <v>0</v>
      </c>
      <c r="I374" s="41">
        <f>((I370)*I369)*I367/1000</f>
        <v>0</v>
      </c>
      <c r="J374" s="359"/>
    </row>
    <row r="375" spans="1:10" ht="30.75" customHeight="1" thickBot="1">
      <c r="A375" s="39" t="s">
        <v>102</v>
      </c>
      <c r="B375" s="52" t="s">
        <v>327</v>
      </c>
      <c r="C375" s="54" t="s">
        <v>1111</v>
      </c>
      <c r="D375" s="39" t="s">
        <v>234</v>
      </c>
      <c r="E375" s="39">
        <f>E371*E369*E367/1000</f>
        <v>0</v>
      </c>
      <c r="F375" s="39">
        <f>F371*F369*F367/1000</f>
        <v>0</v>
      </c>
      <c r="G375" s="39">
        <f>G371*G369*G367/1000</f>
        <v>0</v>
      </c>
      <c r="H375" s="41">
        <f>H371*H369*H367/1000</f>
        <v>0</v>
      </c>
      <c r="I375" s="39">
        <f>I371*I369*I367/1000</f>
        <v>0</v>
      </c>
      <c r="J375" s="42"/>
    </row>
    <row r="376" spans="1:10" ht="14.25">
      <c r="A376" s="39" t="s">
        <v>103</v>
      </c>
      <c r="B376" s="40" t="s">
        <v>292</v>
      </c>
      <c r="C376" s="54" t="s">
        <v>1202</v>
      </c>
      <c r="D376" s="39" t="s">
        <v>234</v>
      </c>
      <c r="E376" s="39">
        <f>E367*E369*E372/1000</f>
        <v>0</v>
      </c>
      <c r="F376" s="39">
        <f>F367*F369*F372/1000</f>
        <v>0</v>
      </c>
      <c r="G376" s="39">
        <f>G367*G369*G372/1000</f>
        <v>0</v>
      </c>
      <c r="H376" s="41">
        <f>H367*H369*H372/1000</f>
        <v>0</v>
      </c>
      <c r="I376" s="39">
        <f>I367*I369*I372/1000</f>
        <v>0</v>
      </c>
      <c r="J376" s="42"/>
    </row>
    <row r="377" spans="1:10" ht="14.25">
      <c r="A377" s="113"/>
      <c r="B377" s="455"/>
      <c r="C377" s="456"/>
      <c r="D377" s="457"/>
      <c r="E377" s="304"/>
      <c r="F377" s="304"/>
      <c r="G377" s="304"/>
      <c r="H377" s="352"/>
      <c r="I377" s="49"/>
      <c r="J377" s="623"/>
    </row>
    <row r="378" spans="1:10" ht="14.25">
      <c r="A378" s="477" t="s">
        <v>55</v>
      </c>
      <c r="B378" s="478" t="s">
        <v>13</v>
      </c>
      <c r="C378" s="780"/>
      <c r="D378" s="473"/>
      <c r="E378" s="266"/>
      <c r="F378" s="266"/>
      <c r="G378" s="266"/>
      <c r="H378" s="339"/>
      <c r="I378" s="410"/>
      <c r="J378" s="626"/>
    </row>
    <row r="379" spans="1:10" ht="14.25">
      <c r="A379" s="96" t="s">
        <v>43</v>
      </c>
      <c r="B379" s="89" t="s">
        <v>891</v>
      </c>
      <c r="C379" s="494" t="s">
        <v>890</v>
      </c>
      <c r="D379" s="92" t="s">
        <v>889</v>
      </c>
      <c r="E379" s="367"/>
      <c r="F379" s="367"/>
      <c r="G379" s="367"/>
      <c r="H379" s="371">
        <f>_xlfn.IFERROR(_xlfn.AVERAGEIF(E379:G379,"&gt;0",E379:G379),0)</f>
        <v>0</v>
      </c>
      <c r="I379" s="313"/>
      <c r="J379" s="620"/>
    </row>
    <row r="380" spans="1:10" ht="14.25">
      <c r="A380" s="96" t="s">
        <v>44</v>
      </c>
      <c r="B380" s="89" t="s">
        <v>28</v>
      </c>
      <c r="C380" s="90" t="s">
        <v>1088</v>
      </c>
      <c r="D380" s="92" t="s">
        <v>328</v>
      </c>
      <c r="E380" s="367"/>
      <c r="F380" s="367"/>
      <c r="G380" s="367"/>
      <c r="H380" s="371">
        <f>_xlfn.IFERROR(_xlfn.AVERAGEIF(E380:G380,"&gt;0",E380:G380),0)</f>
        <v>0</v>
      </c>
      <c r="I380" s="313"/>
      <c r="J380" s="620"/>
    </row>
    <row r="381" spans="1:10" ht="14.25">
      <c r="A381" s="96" t="s">
        <v>45</v>
      </c>
      <c r="B381" s="89" t="s">
        <v>26</v>
      </c>
      <c r="C381" s="90" t="s">
        <v>1201</v>
      </c>
      <c r="D381" s="92" t="s">
        <v>76</v>
      </c>
      <c r="E381" s="313">
        <v>0</v>
      </c>
      <c r="F381" s="313">
        <v>0</v>
      </c>
      <c r="G381" s="313">
        <v>0</v>
      </c>
      <c r="H381" s="371">
        <f>AVERAGEA(E381:G381)</f>
        <v>0</v>
      </c>
      <c r="I381" s="313"/>
      <c r="J381" s="620"/>
    </row>
    <row r="382" spans="1:10" ht="14.25">
      <c r="A382" s="96" t="s">
        <v>46</v>
      </c>
      <c r="B382" s="89" t="s">
        <v>293</v>
      </c>
      <c r="C382" s="90" t="s">
        <v>1201</v>
      </c>
      <c r="D382" s="92" t="s">
        <v>76</v>
      </c>
      <c r="E382" s="313">
        <v>0</v>
      </c>
      <c r="F382" s="313">
        <v>0</v>
      </c>
      <c r="G382" s="313">
        <v>0</v>
      </c>
      <c r="H382" s="371">
        <f>AVERAGEA(E382:G382)</f>
        <v>0</v>
      </c>
      <c r="I382" s="313"/>
      <c r="J382" s="620"/>
    </row>
    <row r="383" spans="1:10" ht="14.25">
      <c r="A383" s="96" t="s">
        <v>47</v>
      </c>
      <c r="B383" s="89" t="s">
        <v>294</v>
      </c>
      <c r="C383" s="90" t="s">
        <v>1201</v>
      </c>
      <c r="D383" s="92" t="s">
        <v>76</v>
      </c>
      <c r="E383" s="313">
        <v>0</v>
      </c>
      <c r="F383" s="313">
        <v>0</v>
      </c>
      <c r="G383" s="313">
        <v>0</v>
      </c>
      <c r="H383" s="371">
        <f>AVERAGEA(E383:G383)</f>
        <v>0</v>
      </c>
      <c r="I383" s="313"/>
      <c r="J383" s="620"/>
    </row>
    <row r="384" spans="1:10" ht="15" thickBot="1">
      <c r="A384" s="452" t="s">
        <v>48</v>
      </c>
      <c r="B384" s="453" t="s">
        <v>30</v>
      </c>
      <c r="C384" s="90" t="s">
        <v>1201</v>
      </c>
      <c r="D384" s="474" t="s">
        <v>76</v>
      </c>
      <c r="E384" s="313">
        <v>0</v>
      </c>
      <c r="F384" s="313">
        <v>0</v>
      </c>
      <c r="G384" s="313">
        <v>0</v>
      </c>
      <c r="H384" s="371">
        <f>AVERAGEA(E384:G384)</f>
        <v>0</v>
      </c>
      <c r="I384" s="313"/>
      <c r="J384" s="620"/>
    </row>
    <row r="385" spans="1:10" ht="15" thickBot="1">
      <c r="A385" s="39" t="s">
        <v>49</v>
      </c>
      <c r="B385" s="40" t="s">
        <v>115</v>
      </c>
      <c r="C385" s="54" t="s">
        <v>1112</v>
      </c>
      <c r="D385" s="39" t="s">
        <v>76</v>
      </c>
      <c r="E385" s="39">
        <f>E382+E383+E384</f>
        <v>0</v>
      </c>
      <c r="F385" s="39">
        <f>F382+F383+F384</f>
        <v>0</v>
      </c>
      <c r="G385" s="39">
        <f>G382+G383+G384</f>
        <v>0</v>
      </c>
      <c r="H385" s="41">
        <f>H382+H383+H384</f>
        <v>0</v>
      </c>
      <c r="I385" s="39">
        <f>I382+I383+I384</f>
        <v>0</v>
      </c>
      <c r="J385" s="42"/>
    </row>
    <row r="386" spans="1:10" ht="42" customHeight="1" thickBot="1">
      <c r="A386" s="39" t="s">
        <v>50</v>
      </c>
      <c r="B386" s="52" t="s">
        <v>326</v>
      </c>
      <c r="C386" s="54" t="s">
        <v>1113</v>
      </c>
      <c r="D386" s="39" t="s">
        <v>234</v>
      </c>
      <c r="E386" s="39">
        <f>(E382)*E380/1000</f>
        <v>0</v>
      </c>
      <c r="F386" s="39">
        <f>(F382)*F380/1000</f>
        <v>0</v>
      </c>
      <c r="G386" s="39">
        <f>(G382)*G380/1000</f>
        <v>0</v>
      </c>
      <c r="H386" s="41">
        <f>(H382)*H380/1000</f>
        <v>0</v>
      </c>
      <c r="I386" s="39">
        <f>(I382)*I380/1000</f>
        <v>0</v>
      </c>
      <c r="J386" s="42"/>
    </row>
    <row r="387" spans="1:10" ht="28.5" customHeight="1" thickBot="1">
      <c r="A387" s="39" t="s">
        <v>101</v>
      </c>
      <c r="B387" s="52" t="s">
        <v>327</v>
      </c>
      <c r="C387" s="54" t="s">
        <v>319</v>
      </c>
      <c r="D387" s="39" t="s">
        <v>234</v>
      </c>
      <c r="E387" s="39">
        <f>E383*E380/1000</f>
        <v>0</v>
      </c>
      <c r="F387" s="39">
        <f>F383*F380/1000</f>
        <v>0</v>
      </c>
      <c r="G387" s="39">
        <f>G383*G380/1000</f>
        <v>0</v>
      </c>
      <c r="H387" s="41">
        <f>H383*H380/1000</f>
        <v>0</v>
      </c>
      <c r="I387" s="39">
        <f>I383*I380/1000</f>
        <v>0</v>
      </c>
      <c r="J387" s="42"/>
    </row>
    <row r="388" spans="1:10" ht="14.25">
      <c r="A388" s="39" t="s">
        <v>102</v>
      </c>
      <c r="B388" s="40" t="s">
        <v>292</v>
      </c>
      <c r="C388" s="54" t="s">
        <v>1114</v>
      </c>
      <c r="D388" s="39" t="s">
        <v>234</v>
      </c>
      <c r="E388" s="39">
        <f>E384*E380/1000</f>
        <v>0</v>
      </c>
      <c r="F388" s="39">
        <f>F384*F380/1000</f>
        <v>0</v>
      </c>
      <c r="G388" s="39">
        <f>G384*G380/1000</f>
        <v>0</v>
      </c>
      <c r="H388" s="41">
        <f>H384*H380/1000</f>
        <v>0</v>
      </c>
      <c r="I388" s="39">
        <f>I384*I380/1000</f>
        <v>0</v>
      </c>
      <c r="J388" s="42"/>
    </row>
    <row r="389" spans="1:10" ht="14.25">
      <c r="A389" s="113"/>
      <c r="B389" s="455"/>
      <c r="C389" s="456"/>
      <c r="D389" s="457"/>
      <c r="E389" s="304"/>
      <c r="F389" s="304"/>
      <c r="G389" s="304"/>
      <c r="H389" s="352"/>
      <c r="I389" s="49"/>
      <c r="J389" s="623"/>
    </row>
    <row r="390" spans="1:10" ht="14.25">
      <c r="A390" s="477" t="s">
        <v>116</v>
      </c>
      <c r="B390" s="478" t="s">
        <v>14</v>
      </c>
      <c r="C390" s="780"/>
      <c r="D390" s="473"/>
      <c r="E390" s="266"/>
      <c r="F390" s="266"/>
      <c r="G390" s="266"/>
      <c r="H390" s="339"/>
      <c r="I390" s="410"/>
      <c r="J390" s="626"/>
    </row>
    <row r="391" spans="1:10" ht="14.25">
      <c r="A391" s="96" t="s">
        <v>43</v>
      </c>
      <c r="B391" s="89" t="s">
        <v>891</v>
      </c>
      <c r="C391" s="494" t="s">
        <v>890</v>
      </c>
      <c r="D391" s="92" t="s">
        <v>889</v>
      </c>
      <c r="E391" s="367"/>
      <c r="F391" s="367"/>
      <c r="G391" s="367"/>
      <c r="H391" s="371">
        <f>_xlfn.IFERROR(_xlfn.AVERAGEIF(E391:G391,"&gt;0",E391:G391),0)</f>
        <v>0</v>
      </c>
      <c r="I391" s="313"/>
      <c r="J391" s="620"/>
    </row>
    <row r="392" spans="1:10" ht="14.25">
      <c r="A392" s="96" t="s">
        <v>44</v>
      </c>
      <c r="B392" s="89" t="s">
        <v>28</v>
      </c>
      <c r="C392" s="90" t="s">
        <v>1088</v>
      </c>
      <c r="D392" s="92" t="s">
        <v>328</v>
      </c>
      <c r="E392" s="367"/>
      <c r="F392" s="367"/>
      <c r="G392" s="367"/>
      <c r="H392" s="371">
        <f>_xlfn.IFERROR(_xlfn.AVERAGEIF(E392:G392,"&gt;0",E392:G392),0)</f>
        <v>0</v>
      </c>
      <c r="I392" s="313"/>
      <c r="J392" s="620"/>
    </row>
    <row r="393" spans="1:10" ht="14.25">
      <c r="A393" s="96" t="s">
        <v>45</v>
      </c>
      <c r="B393" s="89" t="s">
        <v>32</v>
      </c>
      <c r="C393" s="90" t="s">
        <v>1201</v>
      </c>
      <c r="D393" s="92" t="s">
        <v>76</v>
      </c>
      <c r="E393" s="313">
        <v>0</v>
      </c>
      <c r="F393" s="313">
        <v>0</v>
      </c>
      <c r="G393" s="313">
        <v>0</v>
      </c>
      <c r="H393" s="371">
        <f>AVERAGEA(E393:G393)</f>
        <v>0</v>
      </c>
      <c r="I393" s="313"/>
      <c r="J393" s="620"/>
    </row>
    <row r="394" spans="1:10" ht="14.25">
      <c r="A394" s="96" t="s">
        <v>46</v>
      </c>
      <c r="B394" s="89" t="s">
        <v>293</v>
      </c>
      <c r="C394" s="90" t="s">
        <v>1201</v>
      </c>
      <c r="D394" s="92" t="s">
        <v>76</v>
      </c>
      <c r="E394" s="313">
        <v>0</v>
      </c>
      <c r="F394" s="313">
        <v>0</v>
      </c>
      <c r="G394" s="313">
        <v>0</v>
      </c>
      <c r="H394" s="371">
        <f>AVERAGEA(E394:G394)</f>
        <v>0</v>
      </c>
      <c r="I394" s="313"/>
      <c r="J394" s="620"/>
    </row>
    <row r="395" spans="1:10" ht="14.25">
      <c r="A395" s="96" t="s">
        <v>47</v>
      </c>
      <c r="B395" s="89" t="s">
        <v>294</v>
      </c>
      <c r="C395" s="90" t="s">
        <v>1201</v>
      </c>
      <c r="D395" s="92" t="s">
        <v>76</v>
      </c>
      <c r="E395" s="313">
        <v>0</v>
      </c>
      <c r="F395" s="313">
        <v>0</v>
      </c>
      <c r="G395" s="313">
        <v>0</v>
      </c>
      <c r="H395" s="371">
        <f>AVERAGEA(E395:G395)</f>
        <v>0</v>
      </c>
      <c r="I395" s="313"/>
      <c r="J395" s="620"/>
    </row>
    <row r="396" spans="1:10" ht="15" thickBot="1">
      <c r="A396" s="452" t="s">
        <v>48</v>
      </c>
      <c r="B396" s="453" t="s">
        <v>30</v>
      </c>
      <c r="C396" s="90" t="s">
        <v>1201</v>
      </c>
      <c r="D396" s="474" t="s">
        <v>76</v>
      </c>
      <c r="E396" s="313">
        <v>0</v>
      </c>
      <c r="F396" s="313">
        <v>0</v>
      </c>
      <c r="G396" s="313">
        <v>0</v>
      </c>
      <c r="H396" s="371">
        <f>AVERAGEA(E396:G396)</f>
        <v>0</v>
      </c>
      <c r="I396" s="313"/>
      <c r="J396" s="621"/>
    </row>
    <row r="397" spans="1:10" ht="15" thickBot="1">
      <c r="A397" s="39" t="s">
        <v>49</v>
      </c>
      <c r="B397" s="40" t="s">
        <v>71</v>
      </c>
      <c r="C397" s="54" t="s">
        <v>1112</v>
      </c>
      <c r="D397" s="39" t="s">
        <v>76</v>
      </c>
      <c r="E397" s="39">
        <f>E394+E395+E396</f>
        <v>0</v>
      </c>
      <c r="F397" s="39">
        <f>F394+F395+F396</f>
        <v>0</v>
      </c>
      <c r="G397" s="39">
        <f>G394+G395+G396</f>
        <v>0</v>
      </c>
      <c r="H397" s="41">
        <f>H394+H395+H396</f>
        <v>0</v>
      </c>
      <c r="I397" s="39">
        <f>I394+I395+I396</f>
        <v>0</v>
      </c>
      <c r="J397" s="42"/>
    </row>
    <row r="398" spans="1:10" ht="29.25" customHeight="1" thickBot="1">
      <c r="A398" s="39" t="s">
        <v>50</v>
      </c>
      <c r="B398" s="52" t="s">
        <v>326</v>
      </c>
      <c r="C398" s="54" t="s">
        <v>1113</v>
      </c>
      <c r="D398" s="39" t="s">
        <v>234</v>
      </c>
      <c r="E398" s="39">
        <f>(E394)*E392/1000</f>
        <v>0</v>
      </c>
      <c r="F398" s="39">
        <f>(F394)*F392/1000</f>
        <v>0</v>
      </c>
      <c r="G398" s="39">
        <f>(G394)*G392/1000</f>
        <v>0</v>
      </c>
      <c r="H398" s="41">
        <f>(H394)*H392/1000</f>
        <v>0</v>
      </c>
      <c r="I398" s="39">
        <f>(I394)*I392/1000</f>
        <v>0</v>
      </c>
      <c r="J398" s="42"/>
    </row>
    <row r="399" spans="1:10" ht="38.25" customHeight="1" thickBot="1">
      <c r="A399" s="39" t="s">
        <v>101</v>
      </c>
      <c r="B399" s="52" t="s">
        <v>327</v>
      </c>
      <c r="C399" s="54" t="s">
        <v>319</v>
      </c>
      <c r="D399" s="39" t="s">
        <v>234</v>
      </c>
      <c r="E399" s="39">
        <f>E395*E392/1000</f>
        <v>0</v>
      </c>
      <c r="F399" s="39">
        <f>F395*F392/1000</f>
        <v>0</v>
      </c>
      <c r="G399" s="39">
        <f>G395*G392/1000</f>
        <v>0</v>
      </c>
      <c r="H399" s="41">
        <f>H395*H392/1000</f>
        <v>0</v>
      </c>
      <c r="I399" s="39">
        <f>I395*I392/1000</f>
        <v>0</v>
      </c>
      <c r="J399" s="42"/>
    </row>
    <row r="400" spans="1:10" ht="14.25">
      <c r="A400" s="39" t="s">
        <v>102</v>
      </c>
      <c r="B400" s="40" t="s">
        <v>292</v>
      </c>
      <c r="C400" s="54" t="s">
        <v>1114</v>
      </c>
      <c r="D400" s="39" t="s">
        <v>234</v>
      </c>
      <c r="E400" s="39">
        <f>E396*E392/1000</f>
        <v>0</v>
      </c>
      <c r="F400" s="39">
        <f>F396*F392/1000</f>
        <v>0</v>
      </c>
      <c r="G400" s="39">
        <f>G396*G392/1000</f>
        <v>0</v>
      </c>
      <c r="H400" s="41">
        <f>H396*H392/1000</f>
        <v>0</v>
      </c>
      <c r="I400" s="39">
        <f>I396*I392/1000</f>
        <v>0</v>
      </c>
      <c r="J400" s="42"/>
    </row>
    <row r="401" spans="1:10" ht="14.25">
      <c r="A401" s="503"/>
      <c r="B401" s="504"/>
      <c r="C401" s="505"/>
      <c r="D401" s="457"/>
      <c r="E401" s="304"/>
      <c r="F401" s="304"/>
      <c r="G401" s="304"/>
      <c r="H401" s="352"/>
      <c r="I401" s="49"/>
      <c r="J401" s="623"/>
    </row>
    <row r="402" spans="1:10" ht="14.25">
      <c r="A402" s="477" t="s">
        <v>221</v>
      </c>
      <c r="B402" s="478" t="s">
        <v>15</v>
      </c>
      <c r="C402" s="780"/>
      <c r="D402" s="473"/>
      <c r="E402" s="266"/>
      <c r="F402" s="266"/>
      <c r="G402" s="266"/>
      <c r="H402" s="339"/>
      <c r="I402" s="410"/>
      <c r="J402" s="626"/>
    </row>
    <row r="403" spans="1:10" ht="14.25">
      <c r="A403" s="96" t="s">
        <v>43</v>
      </c>
      <c r="B403" s="89" t="s">
        <v>891</v>
      </c>
      <c r="C403" s="494" t="s">
        <v>890</v>
      </c>
      <c r="D403" s="92" t="s">
        <v>889</v>
      </c>
      <c r="E403" s="367"/>
      <c r="F403" s="367"/>
      <c r="G403" s="367"/>
      <c r="H403" s="371">
        <f>_xlfn.IFERROR(_xlfn.AVERAGEIF(E403:G403,"&gt;0",E403:G403),0)</f>
        <v>0</v>
      </c>
      <c r="I403" s="313"/>
      <c r="J403" s="620"/>
    </row>
    <row r="404" spans="1:10" ht="14.25">
      <c r="A404" s="96" t="s">
        <v>44</v>
      </c>
      <c r="B404" s="89" t="s">
        <v>28</v>
      </c>
      <c r="C404" s="90" t="s">
        <v>1088</v>
      </c>
      <c r="D404" s="92" t="s">
        <v>328</v>
      </c>
      <c r="E404" s="367"/>
      <c r="F404" s="367"/>
      <c r="G404" s="367"/>
      <c r="H404" s="371">
        <f>_xlfn.IFERROR(_xlfn.AVERAGEIF(E404:G404,"&gt;0",E404:G404),0)</f>
        <v>0</v>
      </c>
      <c r="I404" s="313"/>
      <c r="J404" s="620"/>
    </row>
    <row r="405" spans="1:10" ht="14.25">
      <c r="A405" s="96" t="s">
        <v>45</v>
      </c>
      <c r="B405" s="89" t="s">
        <v>32</v>
      </c>
      <c r="C405" s="90" t="s">
        <v>1201</v>
      </c>
      <c r="D405" s="92" t="s">
        <v>114</v>
      </c>
      <c r="E405" s="313">
        <v>0</v>
      </c>
      <c r="F405" s="313">
        <v>0</v>
      </c>
      <c r="G405" s="313">
        <v>0</v>
      </c>
      <c r="H405" s="371">
        <f>AVERAGEA(E405:G405)</f>
        <v>0</v>
      </c>
      <c r="I405" s="313"/>
      <c r="J405" s="620"/>
    </row>
    <row r="406" spans="1:10" ht="14.25">
      <c r="A406" s="96" t="s">
        <v>46</v>
      </c>
      <c r="B406" s="89" t="s">
        <v>33</v>
      </c>
      <c r="C406" s="90" t="s">
        <v>1201</v>
      </c>
      <c r="D406" s="92" t="s">
        <v>66</v>
      </c>
      <c r="E406" s="367"/>
      <c r="F406" s="367"/>
      <c r="G406" s="367"/>
      <c r="H406" s="371">
        <f>_xlfn.IFERROR(_xlfn.AVERAGEIF(E406:G406,"&gt;0",E406:G406),0)</f>
        <v>0</v>
      </c>
      <c r="I406" s="313"/>
      <c r="J406" s="620"/>
    </row>
    <row r="407" spans="1:10" ht="14.25">
      <c r="A407" s="96" t="s">
        <v>47</v>
      </c>
      <c r="B407" s="89" t="s">
        <v>293</v>
      </c>
      <c r="C407" s="90" t="s">
        <v>1201</v>
      </c>
      <c r="D407" s="92" t="s">
        <v>114</v>
      </c>
      <c r="E407" s="313">
        <v>0</v>
      </c>
      <c r="F407" s="313">
        <v>0</v>
      </c>
      <c r="G407" s="313">
        <v>0</v>
      </c>
      <c r="H407" s="371">
        <f>AVERAGEA(E407:G407)</f>
        <v>0</v>
      </c>
      <c r="I407" s="313"/>
      <c r="J407" s="620"/>
    </row>
    <row r="408" spans="1:10" ht="14.25">
      <c r="A408" s="96" t="s">
        <v>48</v>
      </c>
      <c r="B408" s="89" t="s">
        <v>294</v>
      </c>
      <c r="C408" s="90" t="s">
        <v>1201</v>
      </c>
      <c r="D408" s="92" t="s">
        <v>114</v>
      </c>
      <c r="E408" s="313">
        <v>0</v>
      </c>
      <c r="F408" s="313">
        <v>0</v>
      </c>
      <c r="G408" s="313">
        <v>0</v>
      </c>
      <c r="H408" s="371">
        <f>AVERAGEA(E408:G408)</f>
        <v>0</v>
      </c>
      <c r="I408" s="313"/>
      <c r="J408" s="620"/>
    </row>
    <row r="409" spans="1:10" ht="28.5">
      <c r="A409" s="96" t="s">
        <v>49</v>
      </c>
      <c r="B409" s="89" t="s">
        <v>1411</v>
      </c>
      <c r="C409" s="90" t="s">
        <v>1201</v>
      </c>
      <c r="D409" s="92" t="s">
        <v>114</v>
      </c>
      <c r="E409" s="313">
        <v>0</v>
      </c>
      <c r="F409" s="313">
        <v>0</v>
      </c>
      <c r="G409" s="313">
        <v>0</v>
      </c>
      <c r="H409" s="371">
        <f>AVERAGEA(E409:G409)</f>
        <v>0</v>
      </c>
      <c r="I409" s="313"/>
      <c r="J409" s="620"/>
    </row>
    <row r="410" spans="1:10" ht="15" thickBot="1">
      <c r="A410" s="452" t="s">
        <v>50</v>
      </c>
      <c r="B410" s="453" t="s">
        <v>30</v>
      </c>
      <c r="C410" s="90" t="s">
        <v>1201</v>
      </c>
      <c r="D410" s="474" t="s">
        <v>114</v>
      </c>
      <c r="E410" s="313">
        <v>0</v>
      </c>
      <c r="F410" s="313">
        <v>0</v>
      </c>
      <c r="G410" s="313">
        <v>0</v>
      </c>
      <c r="H410" s="371">
        <f>AVERAGEA(E410:G410)</f>
        <v>0</v>
      </c>
      <c r="I410" s="313"/>
      <c r="J410" s="620"/>
    </row>
    <row r="411" spans="1:10" ht="15" thickBot="1">
      <c r="A411" s="39" t="s">
        <v>101</v>
      </c>
      <c r="B411" s="40" t="s">
        <v>72</v>
      </c>
      <c r="C411" s="54" t="s">
        <v>1115</v>
      </c>
      <c r="D411" s="39" t="s">
        <v>76</v>
      </c>
      <c r="E411" s="39">
        <f>(E407+E408+E410)*E406</f>
        <v>0</v>
      </c>
      <c r="F411" s="39">
        <f>(F407+F408+F410)*F406</f>
        <v>0</v>
      </c>
      <c r="G411" s="39">
        <f>(G407+G408+G410)*G406</f>
        <v>0</v>
      </c>
      <c r="H411" s="41">
        <f>(H407+H408+H410)*H406</f>
        <v>0</v>
      </c>
      <c r="I411" s="39">
        <f>(I407+I408+I410)*I406</f>
        <v>0</v>
      </c>
      <c r="J411" s="42"/>
    </row>
    <row r="412" spans="1:10" ht="29.25" customHeight="1" thickBot="1">
      <c r="A412" s="39" t="s">
        <v>102</v>
      </c>
      <c r="B412" s="52" t="s">
        <v>326</v>
      </c>
      <c r="C412" s="54" t="s">
        <v>1110</v>
      </c>
      <c r="D412" s="39" t="s">
        <v>234</v>
      </c>
      <c r="E412" s="39">
        <f>E407*E406*E404/1000</f>
        <v>0</v>
      </c>
      <c r="F412" s="39">
        <f>F407*F406*F404/1000</f>
        <v>0</v>
      </c>
      <c r="G412" s="39">
        <f>G407*G406*G404/1000</f>
        <v>0</v>
      </c>
      <c r="H412" s="41">
        <f>H407*H406*H404/1000</f>
        <v>0</v>
      </c>
      <c r="I412" s="39">
        <f>I407*I406*I404/1000</f>
        <v>0</v>
      </c>
      <c r="J412" s="42"/>
    </row>
    <row r="413" spans="1:10" ht="51" customHeight="1" thickBot="1">
      <c r="A413" s="39" t="s">
        <v>103</v>
      </c>
      <c r="B413" s="52" t="s">
        <v>1414</v>
      </c>
      <c r="C413" s="54" t="s">
        <v>1415</v>
      </c>
      <c r="D413" s="39" t="s">
        <v>234</v>
      </c>
      <c r="E413" s="39">
        <f>E409*E406*E404/1000</f>
        <v>0</v>
      </c>
      <c r="F413" s="39">
        <f>F409*F406*F404/1000</f>
        <v>0</v>
      </c>
      <c r="G413" s="39">
        <f>G409*G406*G404/1000</f>
        <v>0</v>
      </c>
      <c r="H413" s="41">
        <f>H409*H406*H404/1000</f>
        <v>0</v>
      </c>
      <c r="I413" s="39">
        <f>I409*I406*I404/1000</f>
        <v>0</v>
      </c>
      <c r="J413" s="42"/>
    </row>
    <row r="414" spans="1:10" ht="30.75" customHeight="1" thickBot="1">
      <c r="A414" s="39" t="s">
        <v>893</v>
      </c>
      <c r="B414" s="52" t="s">
        <v>327</v>
      </c>
      <c r="C414" s="54" t="s">
        <v>1111</v>
      </c>
      <c r="D414" s="39" t="s">
        <v>234</v>
      </c>
      <c r="E414" s="39">
        <f>E408*E406*E404/1000</f>
        <v>0</v>
      </c>
      <c r="F414" s="39">
        <f>F408*F406*F404/1000</f>
        <v>0</v>
      </c>
      <c r="G414" s="39">
        <f>G408*G406*G404/1000</f>
        <v>0</v>
      </c>
      <c r="H414" s="41">
        <f>H408*H406*H404/1000</f>
        <v>0</v>
      </c>
      <c r="I414" s="39">
        <f>I408*I406*I404/1000</f>
        <v>0</v>
      </c>
      <c r="J414" s="42"/>
    </row>
    <row r="415" spans="1:10" ht="14.25">
      <c r="A415" s="39" t="s">
        <v>1158</v>
      </c>
      <c r="B415" s="40" t="s">
        <v>292</v>
      </c>
      <c r="C415" s="54" t="s">
        <v>1116</v>
      </c>
      <c r="D415" s="39" t="s">
        <v>234</v>
      </c>
      <c r="E415" s="39">
        <f>E410*E406*E404/1000</f>
        <v>0</v>
      </c>
      <c r="F415" s="39">
        <f>F410*F406*F404/1000</f>
        <v>0</v>
      </c>
      <c r="G415" s="39">
        <f>G410*G406*G404/1000</f>
        <v>0</v>
      </c>
      <c r="H415" s="41">
        <f>H410*H406*H404/1000</f>
        <v>0</v>
      </c>
      <c r="I415" s="39">
        <f>I410*I406*I404/1000</f>
        <v>0</v>
      </c>
      <c r="J415" s="42"/>
    </row>
    <row r="416" spans="1:10" ht="14.25">
      <c r="A416" s="113"/>
      <c r="B416" s="455"/>
      <c r="C416" s="456"/>
      <c r="D416" s="457"/>
      <c r="E416" s="304"/>
      <c r="F416" s="304"/>
      <c r="G416" s="304"/>
      <c r="H416" s="350"/>
      <c r="I416" s="305"/>
      <c r="J416" s="628"/>
    </row>
    <row r="417" spans="1:10" ht="14.25">
      <c r="A417" s="477" t="s">
        <v>222</v>
      </c>
      <c r="B417" s="478" t="s">
        <v>16</v>
      </c>
      <c r="C417" s="780"/>
      <c r="D417" s="473"/>
      <c r="E417" s="266"/>
      <c r="F417" s="266"/>
      <c r="G417" s="266"/>
      <c r="H417" s="339"/>
      <c r="I417" s="410"/>
      <c r="J417" s="626"/>
    </row>
    <row r="418" spans="1:10" ht="14.25">
      <c r="A418" s="96" t="s">
        <v>43</v>
      </c>
      <c r="B418" s="89" t="s">
        <v>891</v>
      </c>
      <c r="C418" s="494" t="s">
        <v>890</v>
      </c>
      <c r="D418" s="92" t="s">
        <v>889</v>
      </c>
      <c r="E418" s="367"/>
      <c r="F418" s="367"/>
      <c r="G418" s="367"/>
      <c r="H418" s="371">
        <f>_xlfn.IFERROR(_xlfn.AVERAGEIF(E418:G418,"&gt;0",E418:G418),0)</f>
        <v>0</v>
      </c>
      <c r="I418" s="313"/>
      <c r="J418" s="620"/>
    </row>
    <row r="419" spans="1:10" ht="14.25">
      <c r="A419" s="96" t="s">
        <v>44</v>
      </c>
      <c r="B419" s="89" t="s">
        <v>28</v>
      </c>
      <c r="C419" s="90" t="s">
        <v>1088</v>
      </c>
      <c r="D419" s="92" t="s">
        <v>328</v>
      </c>
      <c r="E419" s="367"/>
      <c r="F419" s="367"/>
      <c r="G419" s="367"/>
      <c r="H419" s="371">
        <f>_xlfn.IFERROR(_xlfn.AVERAGEIF(E419:G419,"&gt;0",E419:G419),0)</f>
        <v>0</v>
      </c>
      <c r="I419" s="313"/>
      <c r="J419" s="620"/>
    </row>
    <row r="420" spans="1:10" ht="14.25">
      <c r="A420" s="96" t="s">
        <v>45</v>
      </c>
      <c r="B420" s="89" t="s">
        <v>32</v>
      </c>
      <c r="C420" s="90" t="s">
        <v>1201</v>
      </c>
      <c r="D420" s="92" t="s">
        <v>114</v>
      </c>
      <c r="E420" s="313">
        <v>0</v>
      </c>
      <c r="F420" s="313">
        <v>0</v>
      </c>
      <c r="G420" s="313">
        <v>0</v>
      </c>
      <c r="H420" s="371">
        <f>AVERAGEA(E420:G420)</f>
        <v>0</v>
      </c>
      <c r="I420" s="313"/>
      <c r="J420" s="620"/>
    </row>
    <row r="421" spans="1:10" ht="14.25">
      <c r="A421" s="96" t="s">
        <v>46</v>
      </c>
      <c r="B421" s="89" t="s">
        <v>33</v>
      </c>
      <c r="C421" s="90" t="s">
        <v>1201</v>
      </c>
      <c r="D421" s="92" t="s">
        <v>66</v>
      </c>
      <c r="E421" s="367"/>
      <c r="F421" s="367"/>
      <c r="G421" s="367"/>
      <c r="H421" s="371">
        <f>_xlfn.IFERROR(_xlfn.AVERAGEIF(E421:G421,"&gt;0",E421:G421),0)</f>
        <v>0</v>
      </c>
      <c r="I421" s="313"/>
      <c r="J421" s="620"/>
    </row>
    <row r="422" spans="1:10" ht="14.25">
      <c r="A422" s="96" t="s">
        <v>47</v>
      </c>
      <c r="B422" s="89" t="s">
        <v>293</v>
      </c>
      <c r="C422" s="90" t="s">
        <v>1201</v>
      </c>
      <c r="D422" s="92" t="s">
        <v>114</v>
      </c>
      <c r="E422" s="313">
        <v>0</v>
      </c>
      <c r="F422" s="313">
        <v>0</v>
      </c>
      <c r="G422" s="313">
        <v>0</v>
      </c>
      <c r="H422" s="371">
        <f>AVERAGEA(E422:G422)</f>
        <v>0</v>
      </c>
      <c r="I422" s="313"/>
      <c r="J422" s="620"/>
    </row>
    <row r="423" spans="1:10" ht="14.25">
      <c r="A423" s="96" t="s">
        <v>48</v>
      </c>
      <c r="B423" s="89" t="s">
        <v>294</v>
      </c>
      <c r="C423" s="90" t="s">
        <v>1201</v>
      </c>
      <c r="D423" s="92" t="s">
        <v>114</v>
      </c>
      <c r="E423" s="313">
        <v>0</v>
      </c>
      <c r="F423" s="313">
        <v>0</v>
      </c>
      <c r="G423" s="313">
        <v>0</v>
      </c>
      <c r="H423" s="371">
        <f>AVERAGEA(E423:G423)</f>
        <v>0</v>
      </c>
      <c r="I423" s="313"/>
      <c r="J423" s="620"/>
    </row>
    <row r="424" spans="1:10" ht="14.25">
      <c r="A424" s="96" t="s">
        <v>49</v>
      </c>
      <c r="B424" s="89" t="s">
        <v>1412</v>
      </c>
      <c r="C424" s="90" t="s">
        <v>1201</v>
      </c>
      <c r="D424" s="92" t="s">
        <v>114</v>
      </c>
      <c r="E424" s="313">
        <v>0</v>
      </c>
      <c r="F424" s="313">
        <v>0</v>
      </c>
      <c r="G424" s="313">
        <v>0</v>
      </c>
      <c r="H424" s="371">
        <f>AVERAGEA(E424:G424)</f>
        <v>0</v>
      </c>
      <c r="I424" s="313"/>
      <c r="J424" s="620"/>
    </row>
    <row r="425" spans="1:10" ht="15" thickBot="1">
      <c r="A425" s="452" t="s">
        <v>50</v>
      </c>
      <c r="B425" s="453" t="s">
        <v>30</v>
      </c>
      <c r="C425" s="90" t="s">
        <v>1201</v>
      </c>
      <c r="D425" s="474" t="s">
        <v>114</v>
      </c>
      <c r="E425" s="313">
        <v>0</v>
      </c>
      <c r="F425" s="313">
        <v>0</v>
      </c>
      <c r="G425" s="313">
        <v>0</v>
      </c>
      <c r="H425" s="371">
        <f>AVERAGEA(E425:G425)</f>
        <v>0</v>
      </c>
      <c r="I425" s="313"/>
      <c r="J425" s="620"/>
    </row>
    <row r="426" spans="1:10" ht="15" thickBot="1">
      <c r="A426" s="39" t="s">
        <v>101</v>
      </c>
      <c r="B426" s="40" t="s">
        <v>73</v>
      </c>
      <c r="C426" s="54" t="s">
        <v>1115</v>
      </c>
      <c r="D426" s="39" t="s">
        <v>76</v>
      </c>
      <c r="E426" s="39">
        <f>(E422+E423+E425)*E421</f>
        <v>0</v>
      </c>
      <c r="F426" s="39">
        <f>(F422+F423+F425)*F421</f>
        <v>0</v>
      </c>
      <c r="G426" s="39">
        <f>(G422+G423+G425)*G421</f>
        <v>0</v>
      </c>
      <c r="H426" s="41">
        <f>(H422+H423+H425)*H421</f>
        <v>0</v>
      </c>
      <c r="I426" s="39">
        <f>(I422+I423+I425)*I421</f>
        <v>0</v>
      </c>
      <c r="J426" s="42"/>
    </row>
    <row r="427" spans="1:10" ht="31.5" customHeight="1" thickBot="1">
      <c r="A427" s="39" t="s">
        <v>102</v>
      </c>
      <c r="B427" s="52" t="s">
        <v>326</v>
      </c>
      <c r="C427" s="54" t="s">
        <v>1110</v>
      </c>
      <c r="D427" s="39" t="s">
        <v>234</v>
      </c>
      <c r="E427" s="39">
        <f>E422*E421*E419/1000</f>
        <v>0</v>
      </c>
      <c r="F427" s="39">
        <f>F422*F421*F419/1000</f>
        <v>0</v>
      </c>
      <c r="G427" s="39">
        <f>G422*G421*G419/1000</f>
        <v>0</v>
      </c>
      <c r="H427" s="41">
        <f>H422*H421*H419/1000</f>
        <v>0</v>
      </c>
      <c r="I427" s="39">
        <f>I422*I421*I419/1000</f>
        <v>0</v>
      </c>
      <c r="J427" s="42"/>
    </row>
    <row r="428" spans="1:10" ht="51" customHeight="1" thickBot="1">
      <c r="A428" s="39" t="s">
        <v>103</v>
      </c>
      <c r="B428" s="52" t="s">
        <v>1414</v>
      </c>
      <c r="C428" s="54" t="s">
        <v>1415</v>
      </c>
      <c r="D428" s="39" t="s">
        <v>234</v>
      </c>
      <c r="E428" s="39">
        <f>E424*E421*E419/1000</f>
        <v>0</v>
      </c>
      <c r="F428" s="39">
        <f>F424*F421*F419/1000</f>
        <v>0</v>
      </c>
      <c r="G428" s="39">
        <f>G424*G421*G419/1000</f>
        <v>0</v>
      </c>
      <c r="H428" s="41">
        <f>H424*H421*H419/1000</f>
        <v>0</v>
      </c>
      <c r="I428" s="39">
        <f>I424*I421*I419/1000</f>
        <v>0</v>
      </c>
      <c r="J428" s="42"/>
    </row>
    <row r="429" spans="1:10" ht="33" customHeight="1" thickBot="1">
      <c r="A429" s="39" t="s">
        <v>893</v>
      </c>
      <c r="B429" s="673" t="s">
        <v>327</v>
      </c>
      <c r="C429" s="54" t="s">
        <v>1111</v>
      </c>
      <c r="D429" s="39" t="s">
        <v>234</v>
      </c>
      <c r="E429" s="39">
        <f>E423*E421*E419/1000</f>
        <v>0</v>
      </c>
      <c r="F429" s="39">
        <f>F423*F421*F419/1000</f>
        <v>0</v>
      </c>
      <c r="G429" s="39">
        <f>G423*G421*G419/1000</f>
        <v>0</v>
      </c>
      <c r="H429" s="41">
        <f>H423*H421*H419/1000</f>
        <v>0</v>
      </c>
      <c r="I429" s="39">
        <f>I423*I421*I419/1000</f>
        <v>0</v>
      </c>
      <c r="J429" s="42"/>
    </row>
    <row r="430" spans="1:10" ht="14.25">
      <c r="A430" s="39" t="s">
        <v>1158</v>
      </c>
      <c r="B430" s="40" t="s">
        <v>292</v>
      </c>
      <c r="C430" s="54" t="s">
        <v>1116</v>
      </c>
      <c r="D430" s="39" t="s">
        <v>234</v>
      </c>
      <c r="E430" s="39">
        <f>E425*E421*E419/1000</f>
        <v>0</v>
      </c>
      <c r="F430" s="39">
        <f>F425*F421*F419/1000</f>
        <v>0</v>
      </c>
      <c r="G430" s="39">
        <f>G425*G421*G419/1000</f>
        <v>0</v>
      </c>
      <c r="H430" s="41">
        <f>H425*H421*H419/1000</f>
        <v>0</v>
      </c>
      <c r="I430" s="39">
        <f>I425*I421*I419/1000</f>
        <v>0</v>
      </c>
      <c r="J430" s="42"/>
    </row>
    <row r="431" spans="1:10" ht="14.25">
      <c r="A431" s="113"/>
      <c r="B431" s="455"/>
      <c r="C431" s="456"/>
      <c r="D431" s="456"/>
      <c r="E431" s="49"/>
      <c r="F431" s="49"/>
      <c r="G431" s="49"/>
      <c r="H431" s="350"/>
      <c r="I431" s="305"/>
      <c r="J431" s="628"/>
    </row>
    <row r="432" spans="1:10" ht="43.5" customHeight="1">
      <c r="A432" s="553" t="s">
        <v>223</v>
      </c>
      <c r="B432" s="478" t="s">
        <v>117</v>
      </c>
      <c r="C432" s="893" t="s">
        <v>266</v>
      </c>
      <c r="D432" s="893"/>
      <c r="E432" s="410"/>
      <c r="F432" s="410"/>
      <c r="G432" s="410"/>
      <c r="H432" s="339"/>
      <c r="I432" s="340"/>
      <c r="J432" s="636"/>
    </row>
    <row r="433" spans="1:10" ht="14.25" customHeight="1">
      <c r="A433" s="96" t="s">
        <v>43</v>
      </c>
      <c r="B433" s="89" t="s">
        <v>891</v>
      </c>
      <c r="C433" s="494" t="s">
        <v>890</v>
      </c>
      <c r="D433" s="92" t="s">
        <v>889</v>
      </c>
      <c r="E433" s="367"/>
      <c r="F433" s="367"/>
      <c r="G433" s="367"/>
      <c r="H433" s="371">
        <f>_xlfn.IFERROR(_xlfn.AVERAGEIF(E433:G433,"&gt;0",E433:G433),0)</f>
        <v>0</v>
      </c>
      <c r="I433" s="313"/>
      <c r="J433" s="620"/>
    </row>
    <row r="434" spans="1:10" ht="14.25">
      <c r="A434" s="96" t="s">
        <v>44</v>
      </c>
      <c r="B434" s="89" t="s">
        <v>28</v>
      </c>
      <c r="C434" s="90" t="s">
        <v>1088</v>
      </c>
      <c r="D434" s="92" t="s">
        <v>328</v>
      </c>
      <c r="E434" s="367"/>
      <c r="F434" s="367"/>
      <c r="G434" s="367"/>
      <c r="H434" s="371">
        <f>_xlfn.IFERROR(_xlfn.AVERAGEIF(E434:G434,"&gt;0",E434:G434),0)</f>
        <v>0</v>
      </c>
      <c r="I434" s="313"/>
      <c r="J434" s="620"/>
    </row>
    <row r="435" spans="1:10" ht="14.25">
      <c r="A435" s="96" t="s">
        <v>45</v>
      </c>
      <c r="B435" s="89" t="s">
        <v>32</v>
      </c>
      <c r="C435" s="90" t="s">
        <v>1201</v>
      </c>
      <c r="D435" s="92" t="s">
        <v>114</v>
      </c>
      <c r="E435" s="313">
        <v>0</v>
      </c>
      <c r="F435" s="313">
        <v>0</v>
      </c>
      <c r="G435" s="313">
        <v>0</v>
      </c>
      <c r="H435" s="371">
        <f>AVERAGEA(E435:G435)</f>
        <v>0</v>
      </c>
      <c r="I435" s="313"/>
      <c r="J435" s="620"/>
    </row>
    <row r="436" spans="1:10" ht="14.25">
      <c r="A436" s="96" t="s">
        <v>46</v>
      </c>
      <c r="B436" s="89" t="s">
        <v>33</v>
      </c>
      <c r="C436" s="90" t="s">
        <v>1201</v>
      </c>
      <c r="D436" s="92" t="s">
        <v>66</v>
      </c>
      <c r="E436" s="367"/>
      <c r="F436" s="367"/>
      <c r="G436" s="367"/>
      <c r="H436" s="371">
        <f>_xlfn.IFERROR(_xlfn.AVERAGEIF(E436:G436,"&gt;0",E436:G436),0)</f>
        <v>0</v>
      </c>
      <c r="I436" s="313"/>
      <c r="J436" s="620"/>
    </row>
    <row r="437" spans="1:10" ht="14.25">
      <c r="A437" s="96" t="s">
        <v>47</v>
      </c>
      <c r="B437" s="89" t="s">
        <v>293</v>
      </c>
      <c r="C437" s="90" t="s">
        <v>1201</v>
      </c>
      <c r="D437" s="92" t="s">
        <v>114</v>
      </c>
      <c r="E437" s="313">
        <v>0</v>
      </c>
      <c r="F437" s="313">
        <v>0</v>
      </c>
      <c r="G437" s="313">
        <v>0</v>
      </c>
      <c r="H437" s="371">
        <f>AVERAGEA(E437:G437)</f>
        <v>0</v>
      </c>
      <c r="I437" s="313"/>
      <c r="J437" s="620"/>
    </row>
    <row r="438" spans="1:10" ht="14.25">
      <c r="A438" s="96" t="s">
        <v>48</v>
      </c>
      <c r="B438" s="89" t="s">
        <v>294</v>
      </c>
      <c r="C438" s="90" t="s">
        <v>1201</v>
      </c>
      <c r="D438" s="92" t="s">
        <v>114</v>
      </c>
      <c r="E438" s="313">
        <v>0</v>
      </c>
      <c r="F438" s="313">
        <v>0</v>
      </c>
      <c r="G438" s="313">
        <v>0</v>
      </c>
      <c r="H438" s="371">
        <f>AVERAGEA(E438:G438)</f>
        <v>0</v>
      </c>
      <c r="I438" s="313"/>
      <c r="J438" s="620"/>
    </row>
    <row r="439" spans="1:10" ht="15" thickBot="1">
      <c r="A439" s="452" t="s">
        <v>49</v>
      </c>
      <c r="B439" s="453" t="s">
        <v>290</v>
      </c>
      <c r="C439" s="90" t="s">
        <v>1201</v>
      </c>
      <c r="D439" s="474" t="s">
        <v>114</v>
      </c>
      <c r="E439" s="313">
        <v>0</v>
      </c>
      <c r="F439" s="313">
        <v>0</v>
      </c>
      <c r="G439" s="313">
        <v>0</v>
      </c>
      <c r="H439" s="371">
        <f>AVERAGEA(E439:G439)</f>
        <v>0</v>
      </c>
      <c r="I439" s="313"/>
      <c r="J439" s="620"/>
    </row>
    <row r="440" spans="1:10" ht="15" thickBot="1">
      <c r="A440" s="39" t="s">
        <v>50</v>
      </c>
      <c r="B440" s="40" t="s">
        <v>267</v>
      </c>
      <c r="C440" s="54" t="s">
        <v>1117</v>
      </c>
      <c r="D440" s="39" t="s">
        <v>76</v>
      </c>
      <c r="E440" s="39">
        <f>(E437+E438+E439)*E436</f>
        <v>0</v>
      </c>
      <c r="F440" s="39">
        <f>(F437+F438+F439)*F436</f>
        <v>0</v>
      </c>
      <c r="G440" s="39">
        <f>(G437+G438+G439)*G436</f>
        <v>0</v>
      </c>
      <c r="H440" s="41">
        <f>(H437+H438+H439)*H436</f>
        <v>0</v>
      </c>
      <c r="I440" s="39">
        <f>(I437+I438+I439)*I436</f>
        <v>0</v>
      </c>
      <c r="J440" s="42"/>
    </row>
    <row r="441" spans="1:10" ht="41.25" customHeight="1" thickBot="1">
      <c r="A441" s="39" t="s">
        <v>101</v>
      </c>
      <c r="B441" s="52" t="s">
        <v>326</v>
      </c>
      <c r="C441" s="54" t="s">
        <v>1118</v>
      </c>
      <c r="D441" s="39" t="s">
        <v>234</v>
      </c>
      <c r="E441" s="39">
        <f>E437*E436*E434/1000</f>
        <v>0</v>
      </c>
      <c r="F441" s="39">
        <f>F437*F436*F434/1000</f>
        <v>0</v>
      </c>
      <c r="G441" s="39">
        <f>G437*G436*G434/1000</f>
        <v>0</v>
      </c>
      <c r="H441" s="41">
        <f>H437*H436*H434/1000</f>
        <v>0</v>
      </c>
      <c r="I441" s="39">
        <f>I437*I436*I434/1000</f>
        <v>0</v>
      </c>
      <c r="J441" s="42"/>
    </row>
    <row r="442" spans="1:10" ht="36" customHeight="1" thickBot="1">
      <c r="A442" s="39" t="s">
        <v>102</v>
      </c>
      <c r="B442" s="52" t="s">
        <v>327</v>
      </c>
      <c r="C442" s="54" t="s">
        <v>1119</v>
      </c>
      <c r="D442" s="39" t="s">
        <v>234</v>
      </c>
      <c r="E442" s="39">
        <f>E438*E436*E434/1000</f>
        <v>0</v>
      </c>
      <c r="F442" s="39">
        <f>F438*F436*F434/1000</f>
        <v>0</v>
      </c>
      <c r="G442" s="39">
        <f>G438*G436*G434/1000</f>
        <v>0</v>
      </c>
      <c r="H442" s="41">
        <f>H438*H436*H434/1000</f>
        <v>0</v>
      </c>
      <c r="I442" s="39">
        <f>I438*I436*I434/1000</f>
        <v>0</v>
      </c>
      <c r="J442" s="42"/>
    </row>
    <row r="443" spans="1:10" ht="15" thickBot="1">
      <c r="A443" s="39" t="s">
        <v>103</v>
      </c>
      <c r="B443" s="40" t="s">
        <v>292</v>
      </c>
      <c r="C443" s="54" t="s">
        <v>1118</v>
      </c>
      <c r="D443" s="39" t="s">
        <v>234</v>
      </c>
      <c r="E443" s="39">
        <f>E439*E436*E434/1000</f>
        <v>0</v>
      </c>
      <c r="F443" s="39">
        <f>F439*F436*F434/1000</f>
        <v>0</v>
      </c>
      <c r="G443" s="39">
        <f>G439*G436*G434/1000</f>
        <v>0</v>
      </c>
      <c r="H443" s="41">
        <f>H439*H436*H434/1000</f>
        <v>0</v>
      </c>
      <c r="I443" s="39">
        <f>I439*I436*I434/1000</f>
        <v>0</v>
      </c>
      <c r="J443" s="42"/>
    </row>
    <row r="444" spans="1:10" ht="54.75" customHeight="1" thickBot="1">
      <c r="A444" s="39" t="s">
        <v>262</v>
      </c>
      <c r="B444" s="52" t="s">
        <v>330</v>
      </c>
      <c r="C444" s="54" t="s">
        <v>1417</v>
      </c>
      <c r="D444" s="39" t="s">
        <v>234</v>
      </c>
      <c r="E444" s="39">
        <f>IF(E116="Yes",E427+E412+E398+E386+E374+E441,E427+E412+E398+E386+E374)</f>
        <v>0</v>
      </c>
      <c r="F444" s="39">
        <f>IF(F116="Yes",F427+F412+F398+F386+F374+F441,F427+F412+F398+F386+F374)</f>
        <v>0</v>
      </c>
      <c r="G444" s="39">
        <f>IF(G116="Yes",G427+G412+G398+G386+G374+G441,G427+G412+G398+G386+G374)</f>
        <v>0</v>
      </c>
      <c r="H444" s="41">
        <f>IF(H116="Yes",H427+H412+H398+H386+H374+H441,H427+H412+H398+H386+H374)</f>
        <v>0</v>
      </c>
      <c r="I444" s="39">
        <f>I427+I412+I398+I386+I374+I441</f>
        <v>0</v>
      </c>
      <c r="J444" s="42"/>
    </row>
    <row r="445" spans="1:10" ht="48.75" customHeight="1" thickBot="1">
      <c r="A445" s="39" t="s">
        <v>325</v>
      </c>
      <c r="B445" s="52" t="s">
        <v>331</v>
      </c>
      <c r="C445" s="54" t="s">
        <v>1418</v>
      </c>
      <c r="D445" s="39" t="s">
        <v>234</v>
      </c>
      <c r="E445" s="39">
        <f>IF(E204="Yes",E429+E414+E399+E387+E375+E442,E429+E414+E399+E387+E375)</f>
        <v>0</v>
      </c>
      <c r="F445" s="39">
        <f>IF(F204="Yes",F429+F414+F399+F387+F375+F442,F429+F414+F399+F387+F375)</f>
        <v>0</v>
      </c>
      <c r="G445" s="39">
        <f>IF(G204="Yes",G429+G414+G399+G387+G375+G442,G429+G414+G399+G387+G375)</f>
        <v>0</v>
      </c>
      <c r="H445" s="41">
        <f>IF(H204="Yes",H429+H414+H399+H387+H375+H442,H429+H414+H399+H387+H375)</f>
        <v>0</v>
      </c>
      <c r="I445" s="39">
        <f>IF(I204="Yes",I429+I414+I399+I387+I375+I442,I429+I414+I399+I387+I375)</f>
        <v>0</v>
      </c>
      <c r="J445" s="42"/>
    </row>
    <row r="446" spans="1:10" ht="47.25" customHeight="1">
      <c r="A446" s="39" t="s">
        <v>329</v>
      </c>
      <c r="B446" s="40" t="s">
        <v>295</v>
      </c>
      <c r="C446" s="54" t="s">
        <v>1419</v>
      </c>
      <c r="D446" s="39" t="s">
        <v>234</v>
      </c>
      <c r="E446" s="39">
        <f>E430+E415+E400+E388+E376+E428+E413</f>
        <v>0</v>
      </c>
      <c r="F446" s="39">
        <f>F430+F415+F400+F388+F376+F428+F413</f>
        <v>0</v>
      </c>
      <c r="G446" s="39">
        <f>G430+G415+G400+G388+G376+G428+G413</f>
        <v>0</v>
      </c>
      <c r="H446" s="39">
        <f>H430+H415+H400+H388+H376+H428+H413</f>
        <v>0</v>
      </c>
      <c r="I446" s="39">
        <f>I430+I415+I400+I388+I376+I428+I413</f>
        <v>0</v>
      </c>
      <c r="J446" s="42"/>
    </row>
    <row r="447" spans="1:10" ht="13.5" customHeight="1">
      <c r="A447" s="549"/>
      <c r="B447" s="57"/>
      <c r="C447" s="319"/>
      <c r="D447" s="56"/>
      <c r="E447" s="56"/>
      <c r="F447" s="56"/>
      <c r="G447" s="56"/>
      <c r="H447" s="355"/>
      <c r="I447" s="56"/>
      <c r="J447" s="550"/>
    </row>
    <row r="448" spans="1:10" ht="14.25">
      <c r="A448" s="497" t="s">
        <v>40</v>
      </c>
      <c r="B448" s="498" t="s">
        <v>17</v>
      </c>
      <c r="C448" s="499"/>
      <c r="D448" s="500"/>
      <c r="E448" s="277"/>
      <c r="F448" s="277"/>
      <c r="G448" s="277"/>
      <c r="H448" s="361"/>
      <c r="I448" s="278"/>
      <c r="J448" s="634"/>
    </row>
    <row r="449" spans="1:10" ht="14.25">
      <c r="A449" s="477" t="s">
        <v>41</v>
      </c>
      <c r="B449" s="478" t="s">
        <v>756</v>
      </c>
      <c r="C449" s="780"/>
      <c r="D449" s="473"/>
      <c r="E449" s="266"/>
      <c r="F449" s="266"/>
      <c r="G449" s="266"/>
      <c r="H449" s="339"/>
      <c r="I449" s="410"/>
      <c r="J449" s="626"/>
    </row>
    <row r="450" spans="1:10" ht="14.25">
      <c r="A450" s="96" t="s">
        <v>43</v>
      </c>
      <c r="B450" s="89" t="s">
        <v>891</v>
      </c>
      <c r="C450" s="494" t="s">
        <v>890</v>
      </c>
      <c r="D450" s="92" t="s">
        <v>892</v>
      </c>
      <c r="E450" s="367"/>
      <c r="F450" s="367"/>
      <c r="G450" s="367"/>
      <c r="H450" s="371">
        <f>_xlfn.IFERROR(_xlfn.AVERAGEIF(E450:G450,"&gt;0",E450:G450),0)</f>
        <v>0</v>
      </c>
      <c r="I450" s="313"/>
      <c r="J450" s="620"/>
    </row>
    <row r="451" spans="1:10" ht="14.25">
      <c r="A451" s="96" t="s">
        <v>44</v>
      </c>
      <c r="B451" s="89" t="s">
        <v>23</v>
      </c>
      <c r="C451" s="90" t="s">
        <v>1088</v>
      </c>
      <c r="D451" s="92" t="s">
        <v>347</v>
      </c>
      <c r="E451" s="367"/>
      <c r="F451" s="367"/>
      <c r="G451" s="367"/>
      <c r="H451" s="371">
        <f>_xlfn.IFERROR(_xlfn.AVERAGEIF(E451:G451,"&gt;0",E451:G451),0)</f>
        <v>0</v>
      </c>
      <c r="I451" s="313"/>
      <c r="J451" s="620"/>
    </row>
    <row r="452" spans="1:10" ht="14.25">
      <c r="A452" s="96" t="s">
        <v>45</v>
      </c>
      <c r="B452" s="89" t="s">
        <v>26</v>
      </c>
      <c r="C452" s="90" t="s">
        <v>1201</v>
      </c>
      <c r="D452" s="92" t="s">
        <v>58</v>
      </c>
      <c r="E452" s="45">
        <v>0</v>
      </c>
      <c r="F452" s="313">
        <v>0</v>
      </c>
      <c r="G452" s="313">
        <v>0</v>
      </c>
      <c r="H452" s="371">
        <f>AVERAGEA(E452:G452)</f>
        <v>0</v>
      </c>
      <c r="I452" s="313"/>
      <c r="J452" s="620"/>
    </row>
    <row r="453" spans="1:10" ht="14.25">
      <c r="A453" s="96" t="s">
        <v>46</v>
      </c>
      <c r="B453" s="89" t="s">
        <v>27</v>
      </c>
      <c r="C453" s="90" t="s">
        <v>1201</v>
      </c>
      <c r="D453" s="92" t="s">
        <v>58</v>
      </c>
      <c r="E453" s="45">
        <v>0</v>
      </c>
      <c r="F453" s="313">
        <v>0</v>
      </c>
      <c r="G453" s="313">
        <v>0</v>
      </c>
      <c r="H453" s="371">
        <f>AVERAGEA(E453:G453)</f>
        <v>0</v>
      </c>
      <c r="I453" s="313"/>
      <c r="J453" s="620"/>
    </row>
    <row r="454" spans="1:10" ht="14.25">
      <c r="A454" s="96" t="s">
        <v>47</v>
      </c>
      <c r="B454" s="506" t="s">
        <v>1413</v>
      </c>
      <c r="C454" s="90" t="s">
        <v>1201</v>
      </c>
      <c r="D454" s="92" t="s">
        <v>58</v>
      </c>
      <c r="E454" s="313">
        <v>0</v>
      </c>
      <c r="F454" s="313">
        <v>0</v>
      </c>
      <c r="G454" s="313">
        <v>0</v>
      </c>
      <c r="H454" s="371">
        <f>AVERAGEA(E454:G454)</f>
        <v>0</v>
      </c>
      <c r="I454" s="313"/>
      <c r="J454" s="620"/>
    </row>
    <row r="455" spans="1:10" ht="15" thickBot="1">
      <c r="A455" s="452" t="s">
        <v>48</v>
      </c>
      <c r="B455" s="453" t="s">
        <v>30</v>
      </c>
      <c r="C455" s="90" t="s">
        <v>1201</v>
      </c>
      <c r="D455" s="474" t="s">
        <v>58</v>
      </c>
      <c r="E455" s="313">
        <v>0</v>
      </c>
      <c r="F455" s="313">
        <v>0</v>
      </c>
      <c r="G455" s="313">
        <v>0</v>
      </c>
      <c r="H455" s="371">
        <f>AVERAGEA(E455:G455)</f>
        <v>0</v>
      </c>
      <c r="I455" s="313"/>
      <c r="J455" s="620"/>
    </row>
    <row r="456" spans="1:10" ht="15" thickBot="1">
      <c r="A456" s="39" t="s">
        <v>49</v>
      </c>
      <c r="B456" s="320" t="s">
        <v>74</v>
      </c>
      <c r="C456" s="54" t="s">
        <v>1112</v>
      </c>
      <c r="D456" s="39" t="s">
        <v>58</v>
      </c>
      <c r="E456" s="39">
        <f>E453+E455+E454</f>
        <v>0</v>
      </c>
      <c r="F456" s="39">
        <f>F453+F455+F454</f>
        <v>0</v>
      </c>
      <c r="G456" s="39">
        <f>G453+G455+G454</f>
        <v>0</v>
      </c>
      <c r="H456" s="41">
        <f>H453+H455+H454</f>
        <v>0</v>
      </c>
      <c r="I456" s="39">
        <f>I453+I455+I454</f>
        <v>0</v>
      </c>
      <c r="J456" s="42"/>
    </row>
    <row r="457" spans="1:10" ht="15" thickBot="1">
      <c r="A457" s="39" t="s">
        <v>50</v>
      </c>
      <c r="B457" s="320" t="s">
        <v>291</v>
      </c>
      <c r="C457" s="54" t="s">
        <v>1245</v>
      </c>
      <c r="D457" s="39" t="s">
        <v>234</v>
      </c>
      <c r="E457" s="41">
        <f>E453*E451</f>
        <v>0</v>
      </c>
      <c r="F457" s="41">
        <f>F453*F451</f>
        <v>0</v>
      </c>
      <c r="G457" s="41">
        <f>G453*G451</f>
        <v>0</v>
      </c>
      <c r="H457" s="41">
        <f>H453*H451</f>
        <v>0</v>
      </c>
      <c r="I457" s="41">
        <f>I453*I451</f>
        <v>0</v>
      </c>
      <c r="J457" s="42"/>
    </row>
    <row r="458" spans="1:10" ht="51" customHeight="1" thickBot="1">
      <c r="A458" s="39" t="s">
        <v>101</v>
      </c>
      <c r="B458" s="52" t="s">
        <v>1414</v>
      </c>
      <c r="C458" s="54" t="s">
        <v>1247</v>
      </c>
      <c r="D458" s="39" t="s">
        <v>234</v>
      </c>
      <c r="E458" s="41">
        <f>E454*E451</f>
        <v>0</v>
      </c>
      <c r="F458" s="41">
        <f>F454*F451</f>
        <v>0</v>
      </c>
      <c r="G458" s="41">
        <f>G454*G451</f>
        <v>0</v>
      </c>
      <c r="H458" s="41">
        <f>H454*H451</f>
        <v>0</v>
      </c>
      <c r="I458" s="41">
        <f>I454*I451</f>
        <v>0</v>
      </c>
      <c r="J458" s="42"/>
    </row>
    <row r="459" spans="1:10" ht="14.25">
      <c r="A459" s="39" t="s">
        <v>102</v>
      </c>
      <c r="B459" s="320" t="s">
        <v>292</v>
      </c>
      <c r="C459" s="54" t="s">
        <v>1246</v>
      </c>
      <c r="D459" s="39" t="s">
        <v>234</v>
      </c>
      <c r="E459" s="39">
        <f>E455*E451</f>
        <v>0</v>
      </c>
      <c r="F459" s="39">
        <f>F455*F451</f>
        <v>0</v>
      </c>
      <c r="G459" s="39">
        <f>G455*G451</f>
        <v>0</v>
      </c>
      <c r="H459" s="39">
        <f>H455*H451</f>
        <v>0</v>
      </c>
      <c r="I459" s="39">
        <f>I455*I451</f>
        <v>0</v>
      </c>
      <c r="J459" s="42"/>
    </row>
    <row r="460" spans="1:10" ht="14.25">
      <c r="A460" s="113"/>
      <c r="B460" s="455"/>
      <c r="C460" s="456"/>
      <c r="D460" s="457"/>
      <c r="E460" s="304"/>
      <c r="F460" s="304"/>
      <c r="G460" s="304"/>
      <c r="H460" s="350"/>
      <c r="I460" s="305"/>
      <c r="J460" s="628"/>
    </row>
    <row r="461" spans="1:10" ht="14.25">
      <c r="A461" s="507" t="s">
        <v>56</v>
      </c>
      <c r="B461" s="508" t="s">
        <v>18</v>
      </c>
      <c r="C461" s="509"/>
      <c r="D461" s="510"/>
      <c r="E461" s="333"/>
      <c r="F461" s="333"/>
      <c r="G461" s="333"/>
      <c r="H461" s="332"/>
      <c r="I461" s="331"/>
      <c r="J461" s="637"/>
    </row>
    <row r="462" spans="1:10" ht="14.25">
      <c r="A462" s="96" t="s">
        <v>43</v>
      </c>
      <c r="B462" s="89" t="s">
        <v>891</v>
      </c>
      <c r="C462" s="494" t="s">
        <v>890</v>
      </c>
      <c r="D462" s="92" t="s">
        <v>889</v>
      </c>
      <c r="E462" s="367"/>
      <c r="F462" s="367"/>
      <c r="G462" s="367"/>
      <c r="H462" s="371">
        <f>_xlfn.IFERROR(_xlfn.AVERAGEIF(E462:G462,"&gt;0",E462:G462),0)</f>
        <v>0</v>
      </c>
      <c r="I462" s="313"/>
      <c r="J462" s="620"/>
    </row>
    <row r="463" spans="1:10" ht="14.25">
      <c r="A463" s="96" t="s">
        <v>44</v>
      </c>
      <c r="B463" s="89" t="s">
        <v>23</v>
      </c>
      <c r="C463" s="90" t="s">
        <v>1088</v>
      </c>
      <c r="D463" s="92" t="s">
        <v>273</v>
      </c>
      <c r="E463" s="367"/>
      <c r="F463" s="367"/>
      <c r="G463" s="367"/>
      <c r="H463" s="371">
        <f>_xlfn.IFERROR(_xlfn.AVERAGEIF(E463:G463,"&gt;0",E463:G463),0)</f>
        <v>0</v>
      </c>
      <c r="I463" s="313"/>
      <c r="J463" s="620"/>
    </row>
    <row r="464" spans="1:10" ht="14.25">
      <c r="A464" s="96" t="s">
        <v>45</v>
      </c>
      <c r="B464" s="89" t="s">
        <v>32</v>
      </c>
      <c r="C464" s="90" t="s">
        <v>1201</v>
      </c>
      <c r="D464" s="92" t="s">
        <v>757</v>
      </c>
      <c r="E464" s="313">
        <v>0</v>
      </c>
      <c r="F464" s="313">
        <v>0</v>
      </c>
      <c r="G464" s="313">
        <v>0</v>
      </c>
      <c r="H464" s="371">
        <f>AVERAGEA(E464:G464)</f>
        <v>0</v>
      </c>
      <c r="I464" s="313"/>
      <c r="J464" s="620"/>
    </row>
    <row r="465" spans="1:10" ht="14.25">
      <c r="A465" s="96" t="s">
        <v>46</v>
      </c>
      <c r="B465" s="89" t="s">
        <v>27</v>
      </c>
      <c r="C465" s="90" t="s">
        <v>1201</v>
      </c>
      <c r="D465" s="92" t="s">
        <v>757</v>
      </c>
      <c r="E465" s="313">
        <v>0</v>
      </c>
      <c r="F465" s="313">
        <v>0</v>
      </c>
      <c r="G465" s="313">
        <v>0</v>
      </c>
      <c r="H465" s="371">
        <f>AVERAGEA(E465:G465)</f>
        <v>0</v>
      </c>
      <c r="I465" s="313"/>
      <c r="J465" s="620"/>
    </row>
    <row r="466" spans="1:10" ht="15" thickBot="1">
      <c r="A466" s="452" t="s">
        <v>47</v>
      </c>
      <c r="B466" s="453" t="s">
        <v>30</v>
      </c>
      <c r="C466" s="90" t="s">
        <v>1201</v>
      </c>
      <c r="D466" s="474" t="s">
        <v>757</v>
      </c>
      <c r="E466" s="313">
        <v>0</v>
      </c>
      <c r="F466" s="313">
        <v>0</v>
      </c>
      <c r="G466" s="313">
        <v>0</v>
      </c>
      <c r="H466" s="371">
        <f>AVERAGEA(E466:G466)</f>
        <v>0</v>
      </c>
      <c r="I466" s="313"/>
      <c r="J466" s="620"/>
    </row>
    <row r="467" spans="1:10" ht="15" thickBot="1">
      <c r="A467" s="39" t="s">
        <v>48</v>
      </c>
      <c r="B467" s="320" t="s">
        <v>75</v>
      </c>
      <c r="C467" s="54" t="s">
        <v>318</v>
      </c>
      <c r="D467" s="39" t="s">
        <v>757</v>
      </c>
      <c r="E467" s="39">
        <f>E465+E466</f>
        <v>0</v>
      </c>
      <c r="F467" s="39">
        <f>F465+F466</f>
        <v>0</v>
      </c>
      <c r="G467" s="39">
        <f>G465+G466</f>
        <v>0</v>
      </c>
      <c r="H467" s="41">
        <f>H465+H466</f>
        <v>0</v>
      </c>
      <c r="I467" s="39">
        <f>I465+I466</f>
        <v>0</v>
      </c>
      <c r="J467" s="42"/>
    </row>
    <row r="468" spans="1:10" ht="15" thickBot="1">
      <c r="A468" s="39" t="s">
        <v>49</v>
      </c>
      <c r="B468" s="320" t="s">
        <v>291</v>
      </c>
      <c r="C468" s="54" t="s">
        <v>1245</v>
      </c>
      <c r="D468" s="39" t="s">
        <v>234</v>
      </c>
      <c r="E468" s="39">
        <f>E465*E463</f>
        <v>0</v>
      </c>
      <c r="F468" s="39">
        <f>F465*F463</f>
        <v>0</v>
      </c>
      <c r="G468" s="39">
        <f>G465*G463</f>
        <v>0</v>
      </c>
      <c r="H468" s="39">
        <f>H465*H463</f>
        <v>0</v>
      </c>
      <c r="I468" s="39">
        <f>I465*I463</f>
        <v>0</v>
      </c>
      <c r="J468" s="42"/>
    </row>
    <row r="469" spans="1:10" ht="15" thickBot="1">
      <c r="A469" s="39" t="s">
        <v>50</v>
      </c>
      <c r="B469" s="320" t="s">
        <v>292</v>
      </c>
      <c r="C469" s="54" t="s">
        <v>1247</v>
      </c>
      <c r="D469" s="39" t="s">
        <v>234</v>
      </c>
      <c r="E469" s="39">
        <f>E466*E463</f>
        <v>0</v>
      </c>
      <c r="F469" s="39">
        <f>F466*F463</f>
        <v>0</v>
      </c>
      <c r="G469" s="39">
        <f>G466*G463</f>
        <v>0</v>
      </c>
      <c r="H469" s="39">
        <f>H466*H463</f>
        <v>0</v>
      </c>
      <c r="I469" s="39">
        <f>I466*I463</f>
        <v>0</v>
      </c>
      <c r="J469" s="42"/>
    </row>
    <row r="470" spans="1:10" ht="36.75" customHeight="1" thickBot="1">
      <c r="A470" s="39" t="s">
        <v>120</v>
      </c>
      <c r="B470" s="673" t="s">
        <v>296</v>
      </c>
      <c r="C470" s="54" t="s">
        <v>332</v>
      </c>
      <c r="D470" s="39" t="s">
        <v>234</v>
      </c>
      <c r="E470" s="39">
        <f>E457+E468</f>
        <v>0</v>
      </c>
      <c r="F470" s="39">
        <f>F457+F468</f>
        <v>0</v>
      </c>
      <c r="G470" s="39">
        <f>G457+G468</f>
        <v>0</v>
      </c>
      <c r="H470" s="41">
        <f>H457+H468</f>
        <v>0</v>
      </c>
      <c r="I470" s="39">
        <f>I457+I468</f>
        <v>0</v>
      </c>
      <c r="J470" s="42"/>
    </row>
    <row r="471" spans="1:10" ht="35.25" customHeight="1">
      <c r="A471" s="707" t="s">
        <v>224</v>
      </c>
      <c r="B471" s="708" t="s">
        <v>297</v>
      </c>
      <c r="C471" s="709" t="s">
        <v>1416</v>
      </c>
      <c r="D471" s="707" t="s">
        <v>234</v>
      </c>
      <c r="E471" s="710">
        <f>E459+E469+E458</f>
        <v>0</v>
      </c>
      <c r="F471" s="710">
        <f>F459+F469+F458</f>
        <v>0</v>
      </c>
      <c r="G471" s="710">
        <f>G459+G469+G458</f>
        <v>0</v>
      </c>
      <c r="H471" s="710">
        <f>H459+H469+H458</f>
        <v>0</v>
      </c>
      <c r="I471" s="710">
        <f>I459+I469+I458</f>
        <v>0</v>
      </c>
      <c r="J471" s="711"/>
    </row>
    <row r="472" spans="1:10" ht="14.25">
      <c r="A472" s="511"/>
      <c r="B472" s="484"/>
      <c r="C472" s="485"/>
      <c r="D472" s="483"/>
      <c r="E472" s="61"/>
      <c r="F472" s="61"/>
      <c r="G472" s="61"/>
      <c r="H472" s="362"/>
      <c r="I472" s="61"/>
      <c r="J472" s="638"/>
    </row>
    <row r="473" spans="1:10" ht="15" thickBot="1">
      <c r="A473" s="512" t="s">
        <v>42</v>
      </c>
      <c r="B473" s="513" t="s">
        <v>333</v>
      </c>
      <c r="C473" s="514"/>
      <c r="D473" s="515"/>
      <c r="E473" s="279"/>
      <c r="F473" s="279"/>
      <c r="G473" s="279"/>
      <c r="H473" s="363"/>
      <c r="I473" s="279"/>
      <c r="J473" s="554"/>
    </row>
    <row r="474" spans="1:10" ht="35.25" customHeight="1" thickBot="1">
      <c r="A474" s="39" t="s">
        <v>334</v>
      </c>
      <c r="B474" s="673" t="s">
        <v>1197</v>
      </c>
      <c r="C474" s="54" t="s">
        <v>337</v>
      </c>
      <c r="D474" s="39" t="s">
        <v>234</v>
      </c>
      <c r="E474" s="39">
        <f>E361+E444+E445+E470</f>
        <v>0</v>
      </c>
      <c r="F474" s="39">
        <f>F361+F444+F445+F470</f>
        <v>0</v>
      </c>
      <c r="G474" s="39">
        <f>G361+G444+G445+G470</f>
        <v>0</v>
      </c>
      <c r="H474" s="41">
        <f>AVERAGEA(E474:G474)</f>
        <v>0</v>
      </c>
      <c r="I474" s="39">
        <f>I361+I444+I445+I470</f>
        <v>0</v>
      </c>
      <c r="J474" s="42"/>
    </row>
    <row r="475" spans="1:10" ht="15" thickBot="1">
      <c r="A475" s="39" t="s">
        <v>335</v>
      </c>
      <c r="B475" s="320" t="s">
        <v>298</v>
      </c>
      <c r="C475" s="54" t="s">
        <v>338</v>
      </c>
      <c r="D475" s="39" t="s">
        <v>234</v>
      </c>
      <c r="E475" s="39">
        <f>E471+E446+E362</f>
        <v>0</v>
      </c>
      <c r="F475" s="39">
        <f>F471+F446+F362</f>
        <v>0</v>
      </c>
      <c r="G475" s="39">
        <f>G471+G446+G362</f>
        <v>0</v>
      </c>
      <c r="H475" s="41">
        <f>AVERAGEA(E475:G475)</f>
        <v>0</v>
      </c>
      <c r="I475" s="39">
        <f>I471+I446+I362</f>
        <v>0</v>
      </c>
      <c r="J475" s="42"/>
    </row>
    <row r="476" spans="1:10" ht="35.25" customHeight="1" thickBot="1">
      <c r="A476" s="39" t="s">
        <v>336</v>
      </c>
      <c r="B476" s="369" t="s">
        <v>118</v>
      </c>
      <c r="C476" s="307" t="s">
        <v>1516</v>
      </c>
      <c r="D476" s="58" t="s">
        <v>234</v>
      </c>
      <c r="E476" s="58">
        <f>E474+E475+E235</f>
        <v>0</v>
      </c>
      <c r="F476" s="58">
        <f>F474+F475+F235</f>
        <v>0</v>
      </c>
      <c r="G476" s="58">
        <f>G474+G475+G235</f>
        <v>0</v>
      </c>
      <c r="H476" s="41">
        <f>AVERAGEA(E476:G476)</f>
        <v>0</v>
      </c>
      <c r="I476" s="58">
        <f>I474+I475+I235</f>
        <v>0</v>
      </c>
      <c r="J476" s="51"/>
    </row>
    <row r="477" spans="1:10" ht="14.25">
      <c r="A477" s="555"/>
      <c r="B477" s="315"/>
      <c r="C477" s="781"/>
      <c r="D477" s="300"/>
      <c r="E477" s="300"/>
      <c r="F477" s="300"/>
      <c r="G477" s="300"/>
      <c r="H477" s="323"/>
      <c r="I477" s="323"/>
      <c r="J477" s="639"/>
    </row>
    <row r="478" spans="1:10" ht="15" thickBot="1">
      <c r="A478" s="516" t="s">
        <v>239</v>
      </c>
      <c r="B478" s="517" t="s">
        <v>339</v>
      </c>
      <c r="C478" s="518"/>
      <c r="D478" s="519"/>
      <c r="E478" s="321"/>
      <c r="F478" s="321"/>
      <c r="G478" s="321"/>
      <c r="H478" s="322"/>
      <c r="I478" s="322"/>
      <c r="J478" s="640"/>
    </row>
    <row r="479" spans="1:10" ht="43.5" thickBot="1">
      <c r="A479" s="39" t="s">
        <v>341</v>
      </c>
      <c r="B479" s="320" t="s">
        <v>299</v>
      </c>
      <c r="C479" s="54" t="s">
        <v>1420</v>
      </c>
      <c r="D479" s="39" t="s">
        <v>242</v>
      </c>
      <c r="E479" s="39">
        <f>IF(E118=0,(0),((E427+E412+E398+E386+E374+E441)*10/E118))</f>
        <v>0</v>
      </c>
      <c r="F479" s="39">
        <f>IF(F118=0,(0),((F427+F412+F398+F386+F374+F441)*10/F118))</f>
        <v>0</v>
      </c>
      <c r="G479" s="39">
        <f>IF(G118=0,(0),((G427+G412+G398+G386+G374+G441)*10/G118))</f>
        <v>0</v>
      </c>
      <c r="H479" s="39">
        <f>_xlfn.IFERROR((E479*E118+F479*F118+G479*G118)/(E118+F118+G118),0)</f>
        <v>0</v>
      </c>
      <c r="I479" s="39">
        <f>IF(I118=0,(0),((I427+I412+I398+I386+I374+I441)*10/I118))</f>
        <v>0</v>
      </c>
      <c r="J479" s="42"/>
    </row>
    <row r="480" spans="1:10" ht="105" customHeight="1" thickBot="1">
      <c r="A480" s="39" t="s">
        <v>342</v>
      </c>
      <c r="B480" s="320" t="s">
        <v>300</v>
      </c>
      <c r="C480" s="54" t="s">
        <v>1421</v>
      </c>
      <c r="D480" s="39" t="s">
        <v>242</v>
      </c>
      <c r="E480" s="39">
        <f>IF(E206=0,(0),(((E429+E414+E399+E387+E375+E442)+(E254+E266+E278+E290+E302+E314+E326+E338+E349+E359))*10/E206))</f>
        <v>0</v>
      </c>
      <c r="F480" s="39">
        <f>IF(F206=0,(0),(((F429+F414+F399+F387+F375+F442)+(F254+F266+F278+F290+F302+F314+F326+F338+F349+F359))*10/F206))</f>
        <v>0</v>
      </c>
      <c r="G480" s="39">
        <f>IF(G206=0,(0),(((G429+G414+G399+G387+G375+G442)+(G254+G266+G278+G290+G302+G314+G326+G338+G349+G359))*10/G206))</f>
        <v>0</v>
      </c>
      <c r="H480" s="39">
        <f>_xlfn.IFERROR((E480*E206+F480*F206+G480*G206)/(E206+F206+G206),0)</f>
        <v>0</v>
      </c>
      <c r="I480" s="39">
        <f>IF(I206=0,(0),(((I429+I414+I399+I387+I375+I442)+(I254+I266+I278+I290+I302+I314+I326+I338+I349+I359))*10/I206))</f>
        <v>0</v>
      </c>
      <c r="J480" s="42"/>
    </row>
    <row r="481" spans="1:10" ht="15" thickBot="1">
      <c r="A481" s="39" t="s">
        <v>343</v>
      </c>
      <c r="B481" s="369" t="s">
        <v>301</v>
      </c>
      <c r="C481" s="307" t="s">
        <v>340</v>
      </c>
      <c r="D481" s="58" t="s">
        <v>242</v>
      </c>
      <c r="E481" s="58">
        <f>IF(E220=0,(0),(E470*10/E220))</f>
        <v>0</v>
      </c>
      <c r="F481" s="58">
        <f>IF(F220=0,(0),(F470*10/F220))</f>
        <v>0</v>
      </c>
      <c r="G481" s="58">
        <f>IF(G220=0,(0),(G470*10/G220))</f>
        <v>0</v>
      </c>
      <c r="H481" s="39">
        <f>_xlfn.IFERROR((E481*E220+F481*F220+G481*G220)/(E220+F220+G220),0)</f>
        <v>0</v>
      </c>
      <c r="I481" s="58">
        <f>IF(I220=0,(0),(I470*10/I220))</f>
        <v>0</v>
      </c>
      <c r="J481" s="51"/>
    </row>
    <row r="482" spans="1:10" ht="43.5" thickBot="1">
      <c r="A482" s="58" t="s">
        <v>754</v>
      </c>
      <c r="B482" s="369" t="s">
        <v>1223</v>
      </c>
      <c r="C482" s="307" t="s">
        <v>1560</v>
      </c>
      <c r="D482" s="58" t="s">
        <v>755</v>
      </c>
      <c r="E482" s="58">
        <f>_xlfn.IFERROR((E111*3208+E118*E479+E206*E480+E220*E481+E234*E233)/(E111+E118+E206+E220+E233),0)</f>
        <v>0</v>
      </c>
      <c r="F482" s="58">
        <f>_xlfn.IFERROR((F111*3208+F118*F479+F206*F480+F220*F481+F234*F233)/(F111+F118+F206+F220+F233),0)</f>
        <v>0</v>
      </c>
      <c r="G482" s="58">
        <f>_xlfn.IFERROR((G111*3208+G118*G479+G206*G480+G220*G481+G234*G233)/(G111+G118+G206+G220+G233),0)</f>
        <v>0</v>
      </c>
      <c r="H482" s="351">
        <f>_xlfn.IFERROR(_xlfn.AVERAGEIF(E482:G482,"&gt;0",E482:G482),0)</f>
        <v>0</v>
      </c>
      <c r="I482" s="58">
        <f>_xlfn.IFERROR((I111*3208+I118*I479+I206*I480+I220*I481+I234*I233)/(I111+I118+I206+I220+I233),0)</f>
        <v>0</v>
      </c>
      <c r="J482" s="51"/>
    </row>
    <row r="483" spans="1:10" ht="14.25">
      <c r="A483" s="497" t="s">
        <v>240</v>
      </c>
      <c r="B483" s="498" t="s">
        <v>148</v>
      </c>
      <c r="C483" s="499"/>
      <c r="D483" s="499"/>
      <c r="E483" s="286"/>
      <c r="F483" s="286"/>
      <c r="G483" s="286"/>
      <c r="H483" s="364"/>
      <c r="I483" s="276"/>
      <c r="J483" s="641"/>
    </row>
    <row r="484" spans="1:10" ht="14.25">
      <c r="A484" s="459" t="s">
        <v>344</v>
      </c>
      <c r="B484" s="460" t="s">
        <v>149</v>
      </c>
      <c r="C484" s="461" t="s">
        <v>111</v>
      </c>
      <c r="D484" s="461" t="s">
        <v>272</v>
      </c>
      <c r="E484" s="367"/>
      <c r="F484" s="367"/>
      <c r="G484" s="367"/>
      <c r="H484" s="371">
        <f>_xlfn.IFERROR(_xlfn.AVERAGEIF(E484:G484,"&gt;0",E484:G484),0)</f>
        <v>0</v>
      </c>
      <c r="I484" s="313"/>
      <c r="J484" s="620"/>
    </row>
    <row r="485" spans="1:10" ht="28.5">
      <c r="A485" s="459" t="s">
        <v>345</v>
      </c>
      <c r="B485" s="460" t="s">
        <v>718</v>
      </c>
      <c r="C485" s="461" t="s">
        <v>111</v>
      </c>
      <c r="D485" s="461" t="s">
        <v>151</v>
      </c>
      <c r="E485" s="367"/>
      <c r="F485" s="367"/>
      <c r="G485" s="367"/>
      <c r="H485" s="371">
        <f>_xlfn.IFERROR(_xlfn.AVERAGEIF(E485:G485,"&gt;0",E485:G485),0)</f>
        <v>0</v>
      </c>
      <c r="I485" s="313"/>
      <c r="J485" s="620"/>
    </row>
    <row r="486" spans="1:10" ht="28.5">
      <c r="A486" s="459" t="s">
        <v>346</v>
      </c>
      <c r="B486" s="460" t="s">
        <v>152</v>
      </c>
      <c r="C486" s="461" t="s">
        <v>111</v>
      </c>
      <c r="D486" s="461" t="s">
        <v>153</v>
      </c>
      <c r="E486" s="367"/>
      <c r="F486" s="367"/>
      <c r="G486" s="367"/>
      <c r="H486" s="371">
        <f>_xlfn.IFERROR(_xlfn.AVERAGEIF(E486:G486,"&gt;0",E486:G486),0)</f>
        <v>0</v>
      </c>
      <c r="I486" s="313"/>
      <c r="J486" s="620"/>
    </row>
    <row r="487" spans="1:10" ht="14.25">
      <c r="A487" s="450" t="s">
        <v>374</v>
      </c>
      <c r="B487" s="330" t="s">
        <v>373</v>
      </c>
      <c r="C487" s="520"/>
      <c r="D487" s="329"/>
      <c r="E487" s="280"/>
      <c r="F487" s="280"/>
      <c r="G487" s="280"/>
      <c r="H487" s="348"/>
      <c r="I487" s="264"/>
      <c r="J487" s="559"/>
    </row>
    <row r="488" spans="1:10" ht="14.25">
      <c r="A488" s="459" t="s">
        <v>375</v>
      </c>
      <c r="B488" s="460" t="s">
        <v>742</v>
      </c>
      <c r="C488" s="461" t="s">
        <v>111</v>
      </c>
      <c r="D488" s="461" t="s">
        <v>516</v>
      </c>
      <c r="E488" s="367"/>
      <c r="F488" s="367"/>
      <c r="G488" s="367"/>
      <c r="H488" s="371">
        <f>_xlfn.IFERROR(_xlfn.AVERAGEIF(E488:G488,"&gt;0",E488:G488),0)</f>
        <v>0</v>
      </c>
      <c r="I488" s="313"/>
      <c r="J488" s="620"/>
    </row>
    <row r="489" spans="1:10" ht="14.25">
      <c r="A489" s="459" t="s">
        <v>376</v>
      </c>
      <c r="B489" s="460" t="s">
        <v>377</v>
      </c>
      <c r="C489" s="461" t="s">
        <v>111</v>
      </c>
      <c r="D489" s="461" t="s">
        <v>517</v>
      </c>
      <c r="E489" s="367"/>
      <c r="F489" s="367"/>
      <c r="G489" s="367"/>
      <c r="H489" s="371">
        <f>_xlfn.IFERROR(_xlfn.AVERAGEIF(E489:G489,"&gt;0",E489:G489),0)</f>
        <v>0</v>
      </c>
      <c r="I489" s="313"/>
      <c r="J489" s="620"/>
    </row>
    <row r="490" spans="1:10" ht="14.25">
      <c r="A490" s="470" t="s">
        <v>382</v>
      </c>
      <c r="B490" s="471" t="s">
        <v>693</v>
      </c>
      <c r="C490" s="541"/>
      <c r="D490" s="472"/>
      <c r="E490" s="410"/>
      <c r="F490" s="410"/>
      <c r="G490" s="410"/>
      <c r="H490" s="542"/>
      <c r="I490" s="265"/>
      <c r="J490" s="642"/>
    </row>
    <row r="491" spans="1:10" ht="14.25">
      <c r="A491" s="459" t="s">
        <v>383</v>
      </c>
      <c r="B491" s="460" t="s">
        <v>378</v>
      </c>
      <c r="C491" s="461" t="s">
        <v>111</v>
      </c>
      <c r="D491" s="461" t="s">
        <v>3</v>
      </c>
      <c r="E491" s="367"/>
      <c r="F491" s="367"/>
      <c r="G491" s="367"/>
      <c r="H491" s="371">
        <f>_xlfn.IFERROR(_xlfn.AVERAGEIF(E491:G491,"&gt;0",E491:G491),0)</f>
        <v>0</v>
      </c>
      <c r="I491" s="313"/>
      <c r="J491" s="620"/>
    </row>
    <row r="492" spans="1:10" ht="14.25">
      <c r="A492" s="459" t="s">
        <v>384</v>
      </c>
      <c r="B492" s="460" t="s">
        <v>379</v>
      </c>
      <c r="C492" s="461" t="s">
        <v>111</v>
      </c>
      <c r="D492" s="461" t="s">
        <v>3</v>
      </c>
      <c r="E492" s="367"/>
      <c r="F492" s="367"/>
      <c r="G492" s="367"/>
      <c r="H492" s="371">
        <f>_xlfn.IFERROR(_xlfn.AVERAGEIF(E492:G492,"&gt;0",E492:G492),0)</f>
        <v>0</v>
      </c>
      <c r="I492" s="313"/>
      <c r="J492" s="620"/>
    </row>
    <row r="493" spans="1:10" ht="14.25">
      <c r="A493" s="459" t="s">
        <v>385</v>
      </c>
      <c r="B493" s="463" t="s">
        <v>380</v>
      </c>
      <c r="C493" s="464" t="s">
        <v>111</v>
      </c>
      <c r="D493" s="464" t="s">
        <v>3</v>
      </c>
      <c r="E493" s="367"/>
      <c r="F493" s="367"/>
      <c r="G493" s="367"/>
      <c r="H493" s="371">
        <f>_xlfn.IFERROR(_xlfn.AVERAGEIF(E493:G493,"&gt;0",E493:G493),0)</f>
        <v>0</v>
      </c>
      <c r="I493" s="313"/>
      <c r="J493" s="620"/>
    </row>
    <row r="494" spans="1:10" ht="14.25">
      <c r="A494" s="459" t="s">
        <v>386</v>
      </c>
      <c r="B494" s="463" t="s">
        <v>381</v>
      </c>
      <c r="C494" s="464" t="s">
        <v>111</v>
      </c>
      <c r="D494" s="464" t="s">
        <v>273</v>
      </c>
      <c r="E494" s="367"/>
      <c r="F494" s="367"/>
      <c r="G494" s="367"/>
      <c r="H494" s="371">
        <f>_xlfn.IFERROR(_xlfn.AVERAGEIF(E494:G494,"&gt;0",E494:G494),0)</f>
        <v>0</v>
      </c>
      <c r="I494" s="313"/>
      <c r="J494" s="620"/>
    </row>
    <row r="495" spans="1:10" ht="14.25">
      <c r="A495" s="459"/>
      <c r="B495" s="463"/>
      <c r="C495" s="464"/>
      <c r="D495" s="464"/>
      <c r="E495" s="45"/>
      <c r="F495" s="45"/>
      <c r="G495" s="45"/>
      <c r="H495" s="60"/>
      <c r="I495" s="60"/>
      <c r="J495" s="643"/>
    </row>
    <row r="496" spans="1:10" ht="14.25">
      <c r="A496" s="556" t="s">
        <v>699</v>
      </c>
      <c r="B496" s="330" t="s">
        <v>859</v>
      </c>
      <c r="C496" s="521"/>
      <c r="D496" s="521"/>
      <c r="E496" s="331"/>
      <c r="F496" s="331"/>
      <c r="G496" s="331"/>
      <c r="H496" s="332"/>
      <c r="I496" s="332"/>
      <c r="J496" s="644"/>
    </row>
    <row r="497" spans="1:10" ht="28.5">
      <c r="A497" s="512" t="s">
        <v>847</v>
      </c>
      <c r="B497" s="522" t="s">
        <v>858</v>
      </c>
      <c r="C497" s="520"/>
      <c r="D497" s="520"/>
      <c r="E497" s="281"/>
      <c r="F497" s="281"/>
      <c r="G497" s="281"/>
      <c r="H497" s="282"/>
      <c r="I497" s="282"/>
      <c r="J497" s="645"/>
    </row>
    <row r="498" spans="1:10" ht="14.25">
      <c r="A498" s="557" t="s">
        <v>43</v>
      </c>
      <c r="B498" s="263" t="s">
        <v>760</v>
      </c>
      <c r="C498" s="262" t="s">
        <v>111</v>
      </c>
      <c r="D498" s="262" t="s">
        <v>100</v>
      </c>
      <c r="E498" s="262"/>
      <c r="F498" s="262"/>
      <c r="G498" s="262"/>
      <c r="H498" s="365"/>
      <c r="I498" s="262">
        <f>'Annex Addl Eqp List-Env'!J27</f>
        <v>0</v>
      </c>
      <c r="J498" s="620"/>
    </row>
    <row r="499" spans="1:10" ht="14.25">
      <c r="A499" s="558" t="s">
        <v>44</v>
      </c>
      <c r="B499" s="327" t="s">
        <v>761</v>
      </c>
      <c r="C499" s="326" t="s">
        <v>111</v>
      </c>
      <c r="D499" s="326" t="s">
        <v>234</v>
      </c>
      <c r="E499" s="326"/>
      <c r="F499" s="326"/>
      <c r="G499" s="326"/>
      <c r="H499" s="366"/>
      <c r="I499" s="326">
        <f>'Annex Addl Eqp List-Env'!K27</f>
        <v>0</v>
      </c>
      <c r="J499" s="620"/>
    </row>
    <row r="500" spans="1:10" ht="14.25">
      <c r="A500" s="459"/>
      <c r="B500" s="463"/>
      <c r="C500" s="464"/>
      <c r="D500" s="464"/>
      <c r="E500" s="45"/>
      <c r="F500" s="45"/>
      <c r="G500" s="45"/>
      <c r="H500" s="60"/>
      <c r="I500" s="60"/>
      <c r="J500" s="643"/>
    </row>
    <row r="501" spans="1:10" ht="28.5">
      <c r="A501" s="556" t="s">
        <v>848</v>
      </c>
      <c r="B501" s="330" t="s">
        <v>857</v>
      </c>
      <c r="C501" s="521"/>
      <c r="D501" s="521"/>
      <c r="E501" s="331"/>
      <c r="F501" s="331"/>
      <c r="G501" s="331"/>
      <c r="H501" s="332"/>
      <c r="I501" s="332"/>
      <c r="J501" s="644"/>
    </row>
    <row r="502" spans="1:10" ht="28.5">
      <c r="A502" s="459" t="s">
        <v>43</v>
      </c>
      <c r="B502" s="463" t="s">
        <v>1535</v>
      </c>
      <c r="C502" s="464" t="s">
        <v>111</v>
      </c>
      <c r="D502" s="464" t="s">
        <v>76</v>
      </c>
      <c r="E502" s="539"/>
      <c r="F502" s="539"/>
      <c r="G502" s="539"/>
      <c r="H502" s="539"/>
      <c r="I502" s="313"/>
      <c r="J502" s="620"/>
    </row>
    <row r="503" spans="1:10" ht="42.75">
      <c r="A503" s="459" t="s">
        <v>44</v>
      </c>
      <c r="B503" s="463" t="s">
        <v>1536</v>
      </c>
      <c r="C503" s="464" t="s">
        <v>111</v>
      </c>
      <c r="D503" s="464" t="s">
        <v>76</v>
      </c>
      <c r="E503" s="539"/>
      <c r="F503" s="539"/>
      <c r="G503" s="539"/>
      <c r="H503" s="539"/>
      <c r="I503" s="313"/>
      <c r="J503" s="620"/>
    </row>
    <row r="504" spans="1:10" ht="42.75">
      <c r="A504" s="459" t="s">
        <v>45</v>
      </c>
      <c r="B504" s="463" t="s">
        <v>1537</v>
      </c>
      <c r="C504" s="464" t="s">
        <v>111</v>
      </c>
      <c r="D504" s="464" t="s">
        <v>76</v>
      </c>
      <c r="E504" s="539"/>
      <c r="F504" s="539"/>
      <c r="G504" s="539"/>
      <c r="H504" s="539"/>
      <c r="I504" s="313"/>
      <c r="J504" s="620"/>
    </row>
    <row r="505" spans="1:10" ht="14.25">
      <c r="A505" s="556" t="s">
        <v>849</v>
      </c>
      <c r="B505" s="330" t="s">
        <v>782</v>
      </c>
      <c r="C505" s="329"/>
      <c r="D505" s="329"/>
      <c r="E505" s="280"/>
      <c r="F505" s="280"/>
      <c r="G505" s="280"/>
      <c r="H505" s="275"/>
      <c r="I505" s="275"/>
      <c r="J505" s="647"/>
    </row>
    <row r="506" spans="1:10" ht="28.5">
      <c r="A506" s="557" t="s">
        <v>43</v>
      </c>
      <c r="B506" s="263" t="s">
        <v>769</v>
      </c>
      <c r="C506" s="262" t="s">
        <v>111</v>
      </c>
      <c r="D506" s="262" t="s">
        <v>100</v>
      </c>
      <c r="E506" s="262"/>
      <c r="F506" s="262"/>
      <c r="G506" s="262"/>
      <c r="H506" s="365"/>
      <c r="I506" s="262">
        <f>'Annex Project Activites List'!K27</f>
        <v>0</v>
      </c>
      <c r="J506" s="620"/>
    </row>
    <row r="507" spans="1:10" ht="28.5">
      <c r="A507" s="557" t="s">
        <v>44</v>
      </c>
      <c r="B507" s="263" t="s">
        <v>770</v>
      </c>
      <c r="C507" s="262" t="s">
        <v>111</v>
      </c>
      <c r="D507" s="262" t="s">
        <v>234</v>
      </c>
      <c r="E507" s="262"/>
      <c r="F507" s="262"/>
      <c r="G507" s="262"/>
      <c r="H507" s="365"/>
      <c r="I507" s="262">
        <f>'Annex Project Activites List'!L27</f>
        <v>0</v>
      </c>
      <c r="J507" s="620"/>
    </row>
    <row r="508" spans="1:10" ht="14.25">
      <c r="A508" s="549" t="s">
        <v>850</v>
      </c>
      <c r="B508" s="469" t="s">
        <v>771</v>
      </c>
      <c r="C508" s="319"/>
      <c r="D508" s="319"/>
      <c r="E508" s="309"/>
      <c r="F508" s="309"/>
      <c r="G508" s="309"/>
      <c r="H508" s="328"/>
      <c r="I508" s="328"/>
      <c r="J508" s="646"/>
    </row>
    <row r="509" spans="1:10" ht="42.75">
      <c r="A509" s="459" t="s">
        <v>43</v>
      </c>
      <c r="B509" s="463" t="s">
        <v>772</v>
      </c>
      <c r="C509" s="464" t="s">
        <v>111</v>
      </c>
      <c r="D509" s="464" t="s">
        <v>100</v>
      </c>
      <c r="E509" s="375"/>
      <c r="F509" s="375"/>
      <c r="G509" s="375"/>
      <c r="H509" s="539"/>
      <c r="I509" s="313"/>
      <c r="J509" s="620"/>
    </row>
    <row r="510" spans="1:10" ht="42.75">
      <c r="A510" s="459" t="s">
        <v>44</v>
      </c>
      <c r="B510" s="463" t="s">
        <v>773</v>
      </c>
      <c r="C510" s="464" t="s">
        <v>111</v>
      </c>
      <c r="D510" s="464" t="s">
        <v>234</v>
      </c>
      <c r="E510" s="375"/>
      <c r="F510" s="375"/>
      <c r="G510" s="375"/>
      <c r="H510" s="539"/>
      <c r="I510" s="313"/>
      <c r="J510" s="620"/>
    </row>
    <row r="511" spans="1:10" ht="28.5">
      <c r="A511" s="459" t="s">
        <v>45</v>
      </c>
      <c r="B511" s="463" t="s">
        <v>775</v>
      </c>
      <c r="C511" s="464" t="s">
        <v>111</v>
      </c>
      <c r="D511" s="464" t="s">
        <v>776</v>
      </c>
      <c r="E511" s="375"/>
      <c r="F511" s="375"/>
      <c r="G511" s="375"/>
      <c r="H511" s="539"/>
      <c r="I511" s="313"/>
      <c r="J511" s="620"/>
    </row>
    <row r="512" spans="1:10" ht="14.25">
      <c r="A512" s="459" t="s">
        <v>46</v>
      </c>
      <c r="B512" s="463" t="s">
        <v>778</v>
      </c>
      <c r="C512" s="464" t="s">
        <v>779</v>
      </c>
      <c r="D512" s="464"/>
      <c r="E512" s="375"/>
      <c r="F512" s="375"/>
      <c r="G512" s="375"/>
      <c r="H512" s="539"/>
      <c r="I512" s="313"/>
      <c r="J512" s="620"/>
    </row>
    <row r="513" spans="1:10" ht="42.75">
      <c r="A513" s="459" t="s">
        <v>47</v>
      </c>
      <c r="B513" s="463" t="s">
        <v>777</v>
      </c>
      <c r="C513" s="464" t="s">
        <v>111</v>
      </c>
      <c r="D513" s="464" t="s">
        <v>100</v>
      </c>
      <c r="E513" s="375"/>
      <c r="F513" s="375"/>
      <c r="G513" s="375"/>
      <c r="H513" s="539"/>
      <c r="I513" s="313"/>
      <c r="J513" s="620"/>
    </row>
    <row r="514" spans="1:10" ht="42.75">
      <c r="A514" s="459" t="s">
        <v>48</v>
      </c>
      <c r="B514" s="463" t="s">
        <v>774</v>
      </c>
      <c r="C514" s="464" t="s">
        <v>111</v>
      </c>
      <c r="D514" s="464" t="s">
        <v>234</v>
      </c>
      <c r="E514" s="375"/>
      <c r="F514" s="375"/>
      <c r="G514" s="375"/>
      <c r="H514" s="539"/>
      <c r="I514" s="313"/>
      <c r="J514" s="620"/>
    </row>
    <row r="515" spans="1:10" ht="28.5">
      <c r="A515" s="459" t="s">
        <v>49</v>
      </c>
      <c r="B515" s="463" t="s">
        <v>1208</v>
      </c>
      <c r="C515" s="464" t="s">
        <v>111</v>
      </c>
      <c r="D515" s="464" t="s">
        <v>100</v>
      </c>
      <c r="E515" s="375"/>
      <c r="F515" s="375"/>
      <c r="G515" s="375"/>
      <c r="H515" s="539"/>
      <c r="I515" s="313"/>
      <c r="J515" s="620"/>
    </row>
    <row r="516" spans="1:10" ht="28.5">
      <c r="A516" s="459" t="s">
        <v>50</v>
      </c>
      <c r="B516" s="463" t="s">
        <v>1207</v>
      </c>
      <c r="C516" s="464" t="s">
        <v>779</v>
      </c>
      <c r="D516" s="464"/>
      <c r="E516" s="375"/>
      <c r="F516" s="375"/>
      <c r="G516" s="375"/>
      <c r="H516" s="540"/>
      <c r="I516" s="313"/>
      <c r="J516" s="620"/>
    </row>
    <row r="517" spans="1:10" ht="14.25">
      <c r="A517" s="556" t="s">
        <v>851</v>
      </c>
      <c r="B517" s="330" t="s">
        <v>765</v>
      </c>
      <c r="C517" s="329"/>
      <c r="D517" s="329"/>
      <c r="E517" s="280"/>
      <c r="F517" s="280"/>
      <c r="G517" s="280"/>
      <c r="H517" s="275"/>
      <c r="I517" s="275"/>
      <c r="J517" s="647"/>
    </row>
    <row r="518" spans="1:10" ht="14.25">
      <c r="A518" s="459" t="s">
        <v>43</v>
      </c>
      <c r="B518" s="463" t="s">
        <v>766</v>
      </c>
      <c r="C518" s="464" t="s">
        <v>111</v>
      </c>
      <c r="D518" s="464" t="s">
        <v>100</v>
      </c>
      <c r="E518" s="375"/>
      <c r="F518" s="375"/>
      <c r="G518" s="375"/>
      <c r="H518" s="539"/>
      <c r="I518" s="313"/>
      <c r="J518" s="620"/>
    </row>
    <row r="519" spans="1:10" ht="14.25">
      <c r="A519" s="459" t="s">
        <v>44</v>
      </c>
      <c r="B519" s="463" t="s">
        <v>767</v>
      </c>
      <c r="C519" s="464" t="s">
        <v>111</v>
      </c>
      <c r="D519" s="464" t="s">
        <v>234</v>
      </c>
      <c r="E519" s="375"/>
      <c r="F519" s="375"/>
      <c r="G519" s="375"/>
      <c r="H519" s="539"/>
      <c r="I519" s="313"/>
      <c r="J519" s="620"/>
    </row>
    <row r="520" spans="1:10" ht="14.25">
      <c r="A520" s="308"/>
      <c r="B520" s="53"/>
      <c r="C520" s="45"/>
      <c r="D520" s="45"/>
      <c r="E520" s="45"/>
      <c r="F520" s="45"/>
      <c r="G520" s="45"/>
      <c r="H520" s="60"/>
      <c r="I520" s="313"/>
      <c r="J520" s="620"/>
    </row>
    <row r="521" spans="1:10" ht="14.25">
      <c r="A521" s="899" t="s">
        <v>802</v>
      </c>
      <c r="B521" s="900"/>
      <c r="C521" s="900"/>
      <c r="D521" s="900"/>
      <c r="E521" s="900"/>
      <c r="F521" s="900"/>
      <c r="G521" s="900"/>
      <c r="H521" s="900"/>
      <c r="I521" s="900"/>
      <c r="J521" s="901"/>
    </row>
    <row r="522" spans="1:10" ht="14.25">
      <c r="A522" s="560"/>
      <c r="B522" s="411"/>
      <c r="C522" s="45"/>
      <c r="D522" s="44"/>
      <c r="E522" s="411"/>
      <c r="F522" s="411"/>
      <c r="G522" s="411"/>
      <c r="H522" s="411"/>
      <c r="I522" s="411"/>
      <c r="J522" s="561"/>
    </row>
    <row r="523" spans="1:10" ht="14.25">
      <c r="A523" s="556" t="s">
        <v>719</v>
      </c>
      <c r="B523" s="330" t="s">
        <v>843</v>
      </c>
      <c r="C523" s="329"/>
      <c r="D523" s="329"/>
      <c r="E523" s="280"/>
      <c r="F523" s="280"/>
      <c r="G523" s="280"/>
      <c r="H523" s="275"/>
      <c r="I523" s="275"/>
      <c r="J523" s="647"/>
    </row>
    <row r="524" spans="1:10" ht="28.5">
      <c r="A524" s="459" t="s">
        <v>43</v>
      </c>
      <c r="B524" s="793" t="s">
        <v>840</v>
      </c>
      <c r="C524" s="464"/>
      <c r="D524" s="464" t="s">
        <v>698</v>
      </c>
      <c r="E524" s="44" t="s">
        <v>838</v>
      </c>
      <c r="F524" s="44" t="s">
        <v>838</v>
      </c>
      <c r="G524" s="44" t="s">
        <v>838</v>
      </c>
      <c r="H524" s="371" t="str">
        <f>IF(AND(E524="Yes",F524="Yes",G524="Yes"),"Yes","No")</f>
        <v>Yes</v>
      </c>
      <c r="I524" s="44" t="s">
        <v>838</v>
      </c>
      <c r="J524" s="620"/>
    </row>
    <row r="525" spans="1:10" ht="28.5">
      <c r="A525" s="459" t="s">
        <v>44</v>
      </c>
      <c r="B525" s="793" t="s">
        <v>841</v>
      </c>
      <c r="C525" s="464"/>
      <c r="D525" s="464" t="s">
        <v>698</v>
      </c>
      <c r="E525" s="44" t="s">
        <v>838</v>
      </c>
      <c r="F525" s="44" t="s">
        <v>838</v>
      </c>
      <c r="G525" s="44" t="s">
        <v>838</v>
      </c>
      <c r="H525" s="371" t="str">
        <f aca="true" t="shared" si="17" ref="H525:H530">IF(AND(E525="Yes",F525="Yes",G525="Yes"),"Yes","No")</f>
        <v>Yes</v>
      </c>
      <c r="I525" s="44" t="s">
        <v>838</v>
      </c>
      <c r="J525" s="620"/>
    </row>
    <row r="526" spans="1:10" ht="28.5">
      <c r="A526" s="459" t="s">
        <v>45</v>
      </c>
      <c r="B526" s="793" t="s">
        <v>842</v>
      </c>
      <c r="C526" s="464"/>
      <c r="D526" s="464" t="s">
        <v>698</v>
      </c>
      <c r="E526" s="44" t="s">
        <v>838</v>
      </c>
      <c r="F526" s="44" t="s">
        <v>838</v>
      </c>
      <c r="G526" s="44" t="s">
        <v>838</v>
      </c>
      <c r="H526" s="371" t="str">
        <f t="shared" si="17"/>
        <v>Yes</v>
      </c>
      <c r="I526" s="44" t="s">
        <v>838</v>
      </c>
      <c r="J526" s="620"/>
    </row>
    <row r="527" spans="1:10" ht="14.25">
      <c r="A527" s="459" t="s">
        <v>46</v>
      </c>
      <c r="B527" s="793" t="s">
        <v>844</v>
      </c>
      <c r="C527" s="464"/>
      <c r="D527" s="464" t="s">
        <v>698</v>
      </c>
      <c r="E527" s="44" t="s">
        <v>838</v>
      </c>
      <c r="F527" s="44" t="s">
        <v>838</v>
      </c>
      <c r="G527" s="44" t="s">
        <v>838</v>
      </c>
      <c r="H527" s="371" t="str">
        <f t="shared" si="17"/>
        <v>Yes</v>
      </c>
      <c r="I527" s="44" t="s">
        <v>838</v>
      </c>
      <c r="J527" s="620"/>
    </row>
    <row r="528" spans="1:10" ht="14.25">
      <c r="A528" s="459" t="s">
        <v>47</v>
      </c>
      <c r="B528" s="793" t="s">
        <v>845</v>
      </c>
      <c r="C528" s="464"/>
      <c r="D528" s="464" t="s">
        <v>698</v>
      </c>
      <c r="E528" s="44" t="s">
        <v>838</v>
      </c>
      <c r="F528" s="44" t="s">
        <v>838</v>
      </c>
      <c r="G528" s="44" t="s">
        <v>838</v>
      </c>
      <c r="H528" s="371" t="str">
        <f t="shared" si="17"/>
        <v>Yes</v>
      </c>
      <c r="I528" s="44" t="s">
        <v>838</v>
      </c>
      <c r="J528" s="620"/>
    </row>
    <row r="529" spans="1:10" ht="14.25">
      <c r="A529" s="459" t="s">
        <v>48</v>
      </c>
      <c r="B529" s="793" t="s">
        <v>846</v>
      </c>
      <c r="C529" s="464"/>
      <c r="D529" s="464" t="s">
        <v>698</v>
      </c>
      <c r="E529" s="44" t="s">
        <v>838</v>
      </c>
      <c r="F529" s="44" t="s">
        <v>838</v>
      </c>
      <c r="G529" s="44" t="s">
        <v>838</v>
      </c>
      <c r="H529" s="371" t="str">
        <f t="shared" si="17"/>
        <v>Yes</v>
      </c>
      <c r="I529" s="44" t="s">
        <v>838</v>
      </c>
      <c r="J529" s="620"/>
    </row>
    <row r="530" spans="1:10" ht="15" customHeight="1">
      <c r="A530" s="459" t="s">
        <v>50</v>
      </c>
      <c r="B530" s="793" t="s">
        <v>1193</v>
      </c>
      <c r="C530" s="464"/>
      <c r="D530" s="464" t="s">
        <v>698</v>
      </c>
      <c r="E530" s="44" t="s">
        <v>838</v>
      </c>
      <c r="F530" s="44" t="s">
        <v>838</v>
      </c>
      <c r="G530" s="44" t="s">
        <v>838</v>
      </c>
      <c r="H530" s="371" t="str">
        <f t="shared" si="17"/>
        <v>Yes</v>
      </c>
      <c r="I530" s="44" t="s">
        <v>838</v>
      </c>
      <c r="J530" s="620"/>
    </row>
    <row r="531" spans="1:10" ht="14.25">
      <c r="A531" s="459"/>
      <c r="B531" s="793"/>
      <c r="C531" s="464"/>
      <c r="D531" s="464"/>
      <c r="E531" s="45"/>
      <c r="F531" s="45"/>
      <c r="G531" s="45"/>
      <c r="H531" s="45"/>
      <c r="I531" s="45"/>
      <c r="J531" s="620"/>
    </row>
    <row r="532" spans="1:10" ht="14.25">
      <c r="A532" s="556" t="s">
        <v>852</v>
      </c>
      <c r="B532" s="330" t="s">
        <v>1226</v>
      </c>
      <c r="C532" s="329" t="s">
        <v>111</v>
      </c>
      <c r="D532" s="329" t="s">
        <v>1090</v>
      </c>
      <c r="E532" s="280"/>
      <c r="F532" s="280"/>
      <c r="G532" s="280"/>
      <c r="H532" s="331"/>
      <c r="I532" s="331"/>
      <c r="J532" s="637"/>
    </row>
    <row r="533" spans="1:10" ht="14.25">
      <c r="A533" s="462" t="s">
        <v>43</v>
      </c>
      <c r="B533" s="463" t="s">
        <v>1089</v>
      </c>
      <c r="C533" s="464" t="s">
        <v>111</v>
      </c>
      <c r="D533" s="464" t="s">
        <v>1090</v>
      </c>
      <c r="E533" s="313">
        <v>0</v>
      </c>
      <c r="F533" s="313">
        <v>0</v>
      </c>
      <c r="G533" s="313">
        <v>0</v>
      </c>
      <c r="H533" s="371">
        <f>AVERAGEA(E533:G533)</f>
        <v>0</v>
      </c>
      <c r="I533" s="678"/>
      <c r="J533" s="621"/>
    </row>
    <row r="534" spans="1:10" s="693" customFormat="1" ht="14.25">
      <c r="A534" s="687" t="s">
        <v>44</v>
      </c>
      <c r="B534" s="688" t="s">
        <v>1220</v>
      </c>
      <c r="C534" s="319"/>
      <c r="D534" s="689"/>
      <c r="E534" s="690"/>
      <c r="F534" s="690"/>
      <c r="G534" s="690"/>
      <c r="H534" s="704"/>
      <c r="I534" s="691"/>
      <c r="J534" s="692"/>
    </row>
    <row r="535" spans="1:10" s="693" customFormat="1" ht="14.25">
      <c r="A535" s="687" t="s">
        <v>124</v>
      </c>
      <c r="B535" s="688" t="s">
        <v>1233</v>
      </c>
      <c r="C535" s="319"/>
      <c r="D535" s="689"/>
      <c r="E535" s="690"/>
      <c r="F535" s="690"/>
      <c r="G535" s="690"/>
      <c r="H535" s="704"/>
      <c r="I535" s="691"/>
      <c r="J535" s="692"/>
    </row>
    <row r="536" spans="1:10" ht="14.25">
      <c r="A536" s="462" t="s">
        <v>1236</v>
      </c>
      <c r="B536" s="460" t="s">
        <v>1230</v>
      </c>
      <c r="C536" s="464" t="s">
        <v>111</v>
      </c>
      <c r="D536" s="461" t="s">
        <v>234</v>
      </c>
      <c r="E536" s="313">
        <v>0</v>
      </c>
      <c r="F536" s="313">
        <v>0</v>
      </c>
      <c r="G536" s="313">
        <v>0</v>
      </c>
      <c r="H536" s="371">
        <f>AVERAGEA(E536:G536)</f>
        <v>0</v>
      </c>
      <c r="I536" s="678"/>
      <c r="J536" s="621"/>
    </row>
    <row r="537" spans="1:10" ht="14.25">
      <c r="A537" s="462" t="s">
        <v>1237</v>
      </c>
      <c r="B537" s="460" t="s">
        <v>1231</v>
      </c>
      <c r="C537" s="464" t="s">
        <v>111</v>
      </c>
      <c r="D537" s="461" t="s">
        <v>234</v>
      </c>
      <c r="E537" s="313">
        <v>0</v>
      </c>
      <c r="F537" s="313">
        <v>0</v>
      </c>
      <c r="G537" s="313">
        <v>0</v>
      </c>
      <c r="H537" s="371">
        <f aca="true" t="shared" si="18" ref="H537:H542">AVERAGEA(E537:G537)</f>
        <v>0</v>
      </c>
      <c r="I537" s="678"/>
      <c r="J537" s="621"/>
    </row>
    <row r="538" spans="1:10" ht="14.25">
      <c r="A538" s="462" t="s">
        <v>1238</v>
      </c>
      <c r="B538" s="460" t="s">
        <v>1232</v>
      </c>
      <c r="C538" s="464" t="s">
        <v>111</v>
      </c>
      <c r="D538" s="461" t="s">
        <v>234</v>
      </c>
      <c r="E538" s="313">
        <v>0</v>
      </c>
      <c r="F538" s="313">
        <v>0</v>
      </c>
      <c r="G538" s="313">
        <v>0</v>
      </c>
      <c r="H538" s="371">
        <f t="shared" si="18"/>
        <v>0</v>
      </c>
      <c r="I538" s="678"/>
      <c r="J538" s="621"/>
    </row>
    <row r="539" spans="1:10" ht="14.25">
      <c r="A539" s="462" t="s">
        <v>1239</v>
      </c>
      <c r="B539" s="460" t="s">
        <v>1234</v>
      </c>
      <c r="C539" s="464" t="s">
        <v>111</v>
      </c>
      <c r="D539" s="461" t="s">
        <v>234</v>
      </c>
      <c r="E539" s="313">
        <v>0</v>
      </c>
      <c r="F539" s="313">
        <v>0</v>
      </c>
      <c r="G539" s="313">
        <v>0</v>
      </c>
      <c r="H539" s="371">
        <f t="shared" si="18"/>
        <v>0</v>
      </c>
      <c r="I539" s="678"/>
      <c r="J539" s="621"/>
    </row>
    <row r="540" spans="1:10" ht="14.25">
      <c r="A540" s="687" t="s">
        <v>126</v>
      </c>
      <c r="B540" s="688" t="s">
        <v>1235</v>
      </c>
      <c r="C540" s="464" t="s">
        <v>111</v>
      </c>
      <c r="D540" s="461" t="s">
        <v>234</v>
      </c>
      <c r="E540" s="313">
        <v>0</v>
      </c>
      <c r="F540" s="313">
        <v>0</v>
      </c>
      <c r="G540" s="313">
        <v>0</v>
      </c>
      <c r="H540" s="371">
        <f t="shared" si="18"/>
        <v>0</v>
      </c>
      <c r="I540" s="678"/>
      <c r="J540" s="621"/>
    </row>
    <row r="541" spans="1:10" ht="14.25">
      <c r="A541" s="687" t="s">
        <v>139</v>
      </c>
      <c r="B541" s="688" t="s">
        <v>17</v>
      </c>
      <c r="C541" s="464" t="s">
        <v>111</v>
      </c>
      <c r="D541" s="461" t="s">
        <v>234</v>
      </c>
      <c r="E541" s="313">
        <v>0</v>
      </c>
      <c r="F541" s="313">
        <v>0</v>
      </c>
      <c r="G541" s="313">
        <v>0</v>
      </c>
      <c r="H541" s="371">
        <f t="shared" si="18"/>
        <v>0</v>
      </c>
      <c r="I541" s="678"/>
      <c r="J541" s="621"/>
    </row>
    <row r="542" spans="1:10" ht="14.25">
      <c r="A542" s="462" t="s">
        <v>45</v>
      </c>
      <c r="B542" s="460" t="s">
        <v>1221</v>
      </c>
      <c r="C542" s="464" t="s">
        <v>111</v>
      </c>
      <c r="D542" s="461" t="s">
        <v>1222</v>
      </c>
      <c r="E542" s="313">
        <v>0</v>
      </c>
      <c r="F542" s="313">
        <v>0</v>
      </c>
      <c r="G542" s="313">
        <v>0</v>
      </c>
      <c r="H542" s="371">
        <f t="shared" si="18"/>
        <v>0</v>
      </c>
      <c r="I542" s="678"/>
      <c r="J542" s="621"/>
    </row>
    <row r="543" spans="1:10" ht="14.25">
      <c r="A543" s="462"/>
      <c r="B543" s="460"/>
      <c r="C543" s="461"/>
      <c r="D543" s="461"/>
      <c r="E543" s="50"/>
      <c r="F543" s="50"/>
      <c r="G543" s="50"/>
      <c r="H543" s="678"/>
      <c r="I543" s="678"/>
      <c r="J543" s="621"/>
    </row>
    <row r="544" spans="1:10" ht="15" thickBot="1">
      <c r="A544" s="562" t="s">
        <v>951</v>
      </c>
      <c r="B544" s="563" t="s">
        <v>697</v>
      </c>
      <c r="C544" s="564" t="s">
        <v>698</v>
      </c>
      <c r="D544" s="564"/>
      <c r="E544" s="564"/>
      <c r="F544" s="564"/>
      <c r="G544" s="564"/>
      <c r="H544" s="902" t="s">
        <v>838</v>
      </c>
      <c r="I544" s="902"/>
      <c r="J544" s="648"/>
    </row>
    <row r="545" spans="1:10" ht="15" thickBot="1">
      <c r="A545" s="610"/>
      <c r="B545" s="611"/>
      <c r="C545" s="612"/>
      <c r="D545" s="612"/>
      <c r="E545" s="612"/>
      <c r="F545" s="612"/>
      <c r="G545" s="612"/>
      <c r="H545" s="613"/>
      <c r="I545" s="613"/>
      <c r="J545" s="649"/>
    </row>
    <row r="546" spans="1:10" ht="15" thickBot="1">
      <c r="A546" s="523"/>
      <c r="B546" s="524" t="s">
        <v>1155</v>
      </c>
      <c r="C546" s="324"/>
      <c r="D546" s="324"/>
      <c r="E546" s="324"/>
      <c r="F546" s="324"/>
      <c r="G546" s="324"/>
      <c r="H546" s="325"/>
      <c r="I546" s="325"/>
      <c r="J546" s="650"/>
    </row>
    <row r="547" spans="1:10" ht="15" thickBot="1">
      <c r="A547" s="525">
        <v>0</v>
      </c>
      <c r="B547" s="526" t="s">
        <v>1157</v>
      </c>
      <c r="C547" s="324"/>
      <c r="D547" s="324"/>
      <c r="E547" s="324"/>
      <c r="F547" s="324"/>
      <c r="G547" s="324"/>
      <c r="H547" s="325"/>
      <c r="I547" s="325"/>
      <c r="J547" s="650"/>
    </row>
    <row r="548" spans="1:10" ht="15" thickBot="1">
      <c r="A548" s="527"/>
      <c r="B548" s="528" t="s">
        <v>1156</v>
      </c>
      <c r="C548" s="337"/>
      <c r="D548" s="66"/>
      <c r="E548" s="65"/>
      <c r="F548" s="65"/>
      <c r="G548" s="65"/>
      <c r="H548" s="65"/>
      <c r="I548" s="66"/>
      <c r="J548" s="651"/>
    </row>
    <row r="549" spans="1:10" ht="15" thickBot="1">
      <c r="A549" s="529"/>
      <c r="B549" s="528" t="s">
        <v>1162</v>
      </c>
      <c r="C549" s="337"/>
      <c r="D549" s="66"/>
      <c r="E549" s="65"/>
      <c r="F549" s="65"/>
      <c r="G549" s="65"/>
      <c r="H549" s="65"/>
      <c r="I549" s="66"/>
      <c r="J549" s="651"/>
    </row>
    <row r="550" spans="1:10" ht="15" thickBot="1">
      <c r="A550" s="530" t="s">
        <v>838</v>
      </c>
      <c r="B550" s="531" t="s">
        <v>1163</v>
      </c>
      <c r="C550" s="337"/>
      <c r="D550" s="66"/>
      <c r="E550" s="65"/>
      <c r="F550" s="65"/>
      <c r="G550" s="65"/>
      <c r="H550" s="65"/>
      <c r="I550" s="66"/>
      <c r="J550" s="651"/>
    </row>
    <row r="551" spans="1:10" ht="14.25">
      <c r="A551" s="614"/>
      <c r="B551" s="301"/>
      <c r="C551" s="615"/>
      <c r="D551" s="616"/>
      <c r="E551" s="302"/>
      <c r="F551" s="302"/>
      <c r="G551" s="302"/>
      <c r="H551" s="302"/>
      <c r="I551" s="616"/>
      <c r="J551" s="652"/>
    </row>
    <row r="552" spans="1:10" ht="14.25">
      <c r="A552" s="614"/>
      <c r="B552" s="301"/>
      <c r="C552" s="615"/>
      <c r="D552" s="616"/>
      <c r="E552" s="302"/>
      <c r="F552" s="302"/>
      <c r="G552" s="302"/>
      <c r="H552" s="302"/>
      <c r="I552" s="616"/>
      <c r="J552" s="652"/>
    </row>
    <row r="553" spans="1:10" ht="14.25">
      <c r="A553" s="903" t="s">
        <v>1192</v>
      </c>
      <c r="B553" s="904"/>
      <c r="C553" s="904"/>
      <c r="D553" s="904"/>
      <c r="E553" s="904"/>
      <c r="F553" s="904"/>
      <c r="G553" s="904"/>
      <c r="H553" s="904"/>
      <c r="I553" s="904"/>
      <c r="J553" s="905"/>
    </row>
    <row r="554" spans="1:10" ht="14.25">
      <c r="A554" s="903"/>
      <c r="B554" s="904"/>
      <c r="C554" s="904"/>
      <c r="D554" s="904"/>
      <c r="E554" s="904"/>
      <c r="F554" s="904"/>
      <c r="G554" s="904"/>
      <c r="H554" s="904"/>
      <c r="I554" s="904"/>
      <c r="J554" s="905"/>
    </row>
    <row r="555" spans="1:10" ht="14.25">
      <c r="A555" s="614"/>
      <c r="B555" s="301"/>
      <c r="C555" s="781"/>
      <c r="D555" s="300"/>
      <c r="E555" s="617"/>
      <c r="F555" s="617"/>
      <c r="G555" s="617"/>
      <c r="H555" s="617"/>
      <c r="I555" s="300"/>
      <c r="J555" s="653"/>
    </row>
    <row r="556" spans="1:10" ht="14.25">
      <c r="A556" s="614"/>
      <c r="B556" s="301"/>
      <c r="C556" s="781"/>
      <c r="D556" s="300"/>
      <c r="E556" s="617"/>
      <c r="F556" s="617"/>
      <c r="G556" s="617"/>
      <c r="H556" s="617"/>
      <c r="I556" s="300"/>
      <c r="J556" s="653"/>
    </row>
    <row r="557" spans="1:10" ht="14.25">
      <c r="A557" s="614"/>
      <c r="B557" s="301"/>
      <c r="C557" s="781"/>
      <c r="D557" s="300"/>
      <c r="E557" s="617"/>
      <c r="F557" s="617"/>
      <c r="G557" s="617"/>
      <c r="H557" s="617"/>
      <c r="I557" s="300"/>
      <c r="J557" s="653"/>
    </row>
    <row r="558" spans="1:10" ht="14.25">
      <c r="A558" s="894" t="s">
        <v>236</v>
      </c>
      <c r="B558" s="895"/>
      <c r="C558" s="895"/>
      <c r="D558" s="895"/>
      <c r="E558" s="895"/>
      <c r="F558" s="895"/>
      <c r="G558" s="895"/>
      <c r="H558" s="895"/>
      <c r="I558" s="895"/>
      <c r="J558" s="896"/>
    </row>
    <row r="559" spans="1:10" ht="14.25">
      <c r="A559" s="794" t="s">
        <v>1638</v>
      </c>
      <c r="B559" s="608"/>
      <c r="C559" s="606"/>
      <c r="D559" s="607"/>
      <c r="E559" s="608"/>
      <c r="F559" s="608"/>
      <c r="G559" s="608"/>
      <c r="H559" s="608"/>
      <c r="I559" s="607"/>
      <c r="J559" s="654"/>
    </row>
    <row r="560" spans="1:10" ht="14.25">
      <c r="A560" s="795" t="s">
        <v>1639</v>
      </c>
      <c r="B560" s="608"/>
      <c r="C560" s="606"/>
      <c r="D560" s="607"/>
      <c r="E560" s="608"/>
      <c r="F560" s="608"/>
      <c r="G560" s="608"/>
      <c r="H560" s="608"/>
      <c r="I560" s="897" t="s">
        <v>198</v>
      </c>
      <c r="J560" s="898"/>
    </row>
    <row r="561" spans="1:10" ht="15" customHeight="1">
      <c r="A561" s="887" t="s">
        <v>199</v>
      </c>
      <c r="B561" s="888"/>
      <c r="C561" s="337"/>
      <c r="D561" s="66"/>
      <c r="E561" s="65"/>
      <c r="F561" s="65"/>
      <c r="G561" s="65"/>
      <c r="H561" s="65"/>
      <c r="I561" s="66"/>
      <c r="J561" s="651"/>
    </row>
    <row r="562" spans="1:10" ht="14.25">
      <c r="A562" s="64"/>
      <c r="B562" s="65"/>
      <c r="C562" s="337"/>
      <c r="D562" s="66"/>
      <c r="E562" s="65"/>
      <c r="F562" s="65"/>
      <c r="G562" s="65"/>
      <c r="H562" s="65"/>
      <c r="I562" s="66"/>
      <c r="J562" s="651"/>
    </row>
    <row r="563" spans="1:10" ht="15" customHeight="1" thickBot="1">
      <c r="A563" s="889" t="s">
        <v>200</v>
      </c>
      <c r="B563" s="890"/>
      <c r="C563" s="683"/>
      <c r="D563" s="684"/>
      <c r="E563" s="685"/>
      <c r="F563" s="685"/>
      <c r="G563" s="685"/>
      <c r="H563" s="685"/>
      <c r="I563" s="684"/>
      <c r="J563" s="686"/>
    </row>
    <row r="564" spans="1:10" ht="15">
      <c r="A564" s="67"/>
      <c r="B564" s="68"/>
      <c r="C564" s="337"/>
      <c r="D564" s="66"/>
      <c r="E564" s="66"/>
      <c r="F564" s="66"/>
      <c r="G564" s="66"/>
      <c r="H564" s="65"/>
      <c r="I564" s="892"/>
      <c r="J564" s="892"/>
    </row>
    <row r="565" spans="1:10" ht="15" hidden="1">
      <c r="A565" s="67"/>
      <c r="B565" s="69"/>
      <c r="C565" s="337"/>
      <c r="D565" s="66"/>
      <c r="E565" s="66"/>
      <c r="F565" s="66"/>
      <c r="G565" s="66"/>
      <c r="H565" s="65"/>
      <c r="I565" s="65"/>
      <c r="J565" s="65"/>
    </row>
    <row r="566" spans="1:10" ht="15" hidden="1">
      <c r="A566" s="67"/>
      <c r="B566" s="69"/>
      <c r="C566" s="337"/>
      <c r="D566" s="66"/>
      <c r="E566" s="66"/>
      <c r="F566" s="66"/>
      <c r="G566" s="66"/>
      <c r="H566" s="65"/>
      <c r="I566" s="65"/>
      <c r="J566" s="65"/>
    </row>
    <row r="567" spans="1:10" ht="15" hidden="1">
      <c r="A567" s="67"/>
      <c r="B567" s="69"/>
      <c r="C567" s="337"/>
      <c r="D567" s="66"/>
      <c r="E567" s="66"/>
      <c r="F567" s="66"/>
      <c r="G567" s="66"/>
      <c r="H567" s="65"/>
      <c r="I567" s="65"/>
      <c r="J567" s="65"/>
    </row>
    <row r="568" spans="1:10" ht="15" hidden="1">
      <c r="A568" s="67"/>
      <c r="B568" s="68"/>
      <c r="C568" s="337"/>
      <c r="D568" s="66"/>
      <c r="E568" s="66"/>
      <c r="F568" s="66"/>
      <c r="G568" s="66"/>
      <c r="H568" s="65"/>
      <c r="I568" s="892"/>
      <c r="J568" s="892"/>
    </row>
    <row r="569" spans="1:10" ht="15" hidden="1">
      <c r="A569" s="67"/>
      <c r="B569" s="69"/>
      <c r="C569" s="337"/>
      <c r="D569" s="66"/>
      <c r="E569" s="66"/>
      <c r="F569" s="66"/>
      <c r="G569" s="66"/>
      <c r="H569" s="65"/>
      <c r="I569" s="65"/>
      <c r="J569" s="65"/>
    </row>
    <row r="570" ht="14.25"/>
    <row r="571" ht="14.25"/>
    <row r="572" ht="14.25"/>
    <row r="573" ht="14.25"/>
    <row r="574" ht="14.25"/>
    <row r="575" ht="14.25"/>
    <row r="576" ht="14.25"/>
    <row r="577" ht="14.25"/>
    <row r="578" ht="14.25"/>
    <row r="579" ht="14.25"/>
    <row r="580" ht="14.25"/>
    <row r="581" ht="14.25"/>
    <row r="582" ht="14.25"/>
    <row r="583" ht="14.25"/>
  </sheetData>
  <sheetProtection password="FABB" sheet="1" formatCells="0"/>
  <mergeCells count="16">
    <mergeCell ref="A563:B563"/>
    <mergeCell ref="C351:D351"/>
    <mergeCell ref="I568:J568"/>
    <mergeCell ref="I564:J564"/>
    <mergeCell ref="C432:D432"/>
    <mergeCell ref="A558:J558"/>
    <mergeCell ref="I560:J560"/>
    <mergeCell ref="A521:J521"/>
    <mergeCell ref="H544:I544"/>
    <mergeCell ref="A553:J554"/>
    <mergeCell ref="A2:J2"/>
    <mergeCell ref="A1:J1"/>
    <mergeCell ref="A3:B3"/>
    <mergeCell ref="C3:J3"/>
    <mergeCell ref="C341:D341"/>
    <mergeCell ref="A561:B561"/>
  </mergeCells>
  <conditionalFormatting sqref="H460:J461 H448:J449 H431:J432 H416:J417 H377:J378 H389:J390 H351:J351 H268:J268 H243:J245 H280:J280 H341:J341 H217:J218 H401:J402 H364:J365 H256:J257 H113:J115 H94:J94 H225:J226 H29:J29 H6:H14 H17:H28 H121:J122 H203:J203 J6">
    <cfRule type="cellIs" priority="631" dxfId="1" operator="equal" stopIfTrue="1">
      <formula>"NA"</formula>
    </cfRule>
    <cfRule type="cellIs" priority="632" dxfId="0" operator="equal" stopIfTrue="1">
      <formula>"NA"</formula>
    </cfRule>
  </conditionalFormatting>
  <conditionalFormatting sqref="H293:J293">
    <cfRule type="cellIs" priority="609" dxfId="1" operator="equal" stopIfTrue="1">
      <formula>"NA"</formula>
    </cfRule>
    <cfRule type="cellIs" priority="610" dxfId="0" operator="equal" stopIfTrue="1">
      <formula>"NA"</formula>
    </cfRule>
  </conditionalFormatting>
  <conditionalFormatting sqref="H305:J305">
    <cfRule type="cellIs" priority="607" dxfId="1" operator="equal" stopIfTrue="1">
      <formula>"NA"</formula>
    </cfRule>
    <cfRule type="cellIs" priority="608" dxfId="0" operator="equal" stopIfTrue="1">
      <formula>"NA"</formula>
    </cfRule>
  </conditionalFormatting>
  <conditionalFormatting sqref="H317:J317">
    <cfRule type="cellIs" priority="605" dxfId="1" operator="equal" stopIfTrue="1">
      <formula>"NA"</formula>
    </cfRule>
    <cfRule type="cellIs" priority="606" dxfId="0" operator="equal" stopIfTrue="1">
      <formula>"NA"</formula>
    </cfRule>
  </conditionalFormatting>
  <conditionalFormatting sqref="H329:J329">
    <cfRule type="cellIs" priority="603" dxfId="1" operator="equal" stopIfTrue="1">
      <formula>"NA"</formula>
    </cfRule>
    <cfRule type="cellIs" priority="604" dxfId="0" operator="equal" stopIfTrue="1">
      <formula>"NA"</formula>
    </cfRule>
  </conditionalFormatting>
  <conditionalFormatting sqref="H42">
    <cfRule type="cellIs" priority="575" dxfId="1" operator="equal" stopIfTrue="1">
      <formula>"NA"</formula>
    </cfRule>
    <cfRule type="cellIs" priority="576" dxfId="0" operator="equal" stopIfTrue="1">
      <formula>"NA"</formula>
    </cfRule>
  </conditionalFormatting>
  <conditionalFormatting sqref="E502:H504">
    <cfRule type="cellIs" priority="509" dxfId="1" operator="equal" stopIfTrue="1">
      <formula>"NA"</formula>
    </cfRule>
    <cfRule type="cellIs" priority="510" dxfId="0" operator="equal" stopIfTrue="1">
      <formula>"NA"</formula>
    </cfRule>
  </conditionalFormatting>
  <conditionalFormatting sqref="H509:H515">
    <cfRule type="cellIs" priority="507" dxfId="1" operator="equal" stopIfTrue="1">
      <formula>"NA"</formula>
    </cfRule>
    <cfRule type="cellIs" priority="508" dxfId="0" operator="equal" stopIfTrue="1">
      <formula>"NA"</formula>
    </cfRule>
  </conditionalFormatting>
  <conditionalFormatting sqref="H518:H519">
    <cfRule type="cellIs" priority="505" dxfId="1" operator="equal" stopIfTrue="1">
      <formula>"NA"</formula>
    </cfRule>
    <cfRule type="cellIs" priority="506" dxfId="0" operator="equal" stopIfTrue="1">
      <formula>"NA"</formula>
    </cfRule>
  </conditionalFormatting>
  <conditionalFormatting sqref="H269:J269">
    <cfRule type="cellIs" priority="503" dxfId="1" operator="equal" stopIfTrue="1">
      <formula>"NA"</formula>
    </cfRule>
    <cfRule type="cellIs" priority="504" dxfId="0" operator="equal" stopIfTrue="1">
      <formula>"NA"</formula>
    </cfRule>
  </conditionalFormatting>
  <conditionalFormatting sqref="H281:J281">
    <cfRule type="cellIs" priority="501" dxfId="1" operator="equal" stopIfTrue="1">
      <formula>"NA"</formula>
    </cfRule>
    <cfRule type="cellIs" priority="502" dxfId="0" operator="equal" stopIfTrue="1">
      <formula>"NA"</formula>
    </cfRule>
  </conditionalFormatting>
  <conditionalFormatting sqref="H31">
    <cfRule type="cellIs" priority="497" dxfId="1" operator="equal" stopIfTrue="1">
      <formula>"NA"</formula>
    </cfRule>
    <cfRule type="cellIs" priority="498" dxfId="0" operator="equal" stopIfTrue="1">
      <formula>"NA"</formula>
    </cfRule>
  </conditionalFormatting>
  <conditionalFormatting sqref="H32:H33">
    <cfRule type="cellIs" priority="495" dxfId="1" operator="equal" stopIfTrue="1">
      <formula>"NA"</formula>
    </cfRule>
    <cfRule type="cellIs" priority="496" dxfId="0" operator="equal" stopIfTrue="1">
      <formula>"NA"</formula>
    </cfRule>
  </conditionalFormatting>
  <conditionalFormatting sqref="H34:H41">
    <cfRule type="cellIs" priority="493" dxfId="1" operator="equal" stopIfTrue="1">
      <formula>"NA"</formula>
    </cfRule>
    <cfRule type="cellIs" priority="494" dxfId="0" operator="equal" stopIfTrue="1">
      <formula>"NA"</formula>
    </cfRule>
  </conditionalFormatting>
  <conditionalFormatting sqref="H54">
    <cfRule type="cellIs" priority="491" dxfId="1" operator="equal" stopIfTrue="1">
      <formula>"NA"</formula>
    </cfRule>
    <cfRule type="cellIs" priority="492" dxfId="0" operator="equal" stopIfTrue="1">
      <formula>"NA"</formula>
    </cfRule>
  </conditionalFormatting>
  <conditionalFormatting sqref="H43">
    <cfRule type="cellIs" priority="489" dxfId="1" operator="equal" stopIfTrue="1">
      <formula>"NA"</formula>
    </cfRule>
    <cfRule type="cellIs" priority="490" dxfId="0" operator="equal" stopIfTrue="1">
      <formula>"NA"</formula>
    </cfRule>
  </conditionalFormatting>
  <conditionalFormatting sqref="H44:H45">
    <cfRule type="cellIs" priority="487" dxfId="1" operator="equal" stopIfTrue="1">
      <formula>"NA"</formula>
    </cfRule>
    <cfRule type="cellIs" priority="488" dxfId="0" operator="equal" stopIfTrue="1">
      <formula>"NA"</formula>
    </cfRule>
  </conditionalFormatting>
  <conditionalFormatting sqref="H46:H53">
    <cfRule type="cellIs" priority="485" dxfId="1" operator="equal" stopIfTrue="1">
      <formula>"NA"</formula>
    </cfRule>
    <cfRule type="cellIs" priority="486" dxfId="0" operator="equal" stopIfTrue="1">
      <formula>"NA"</formula>
    </cfRule>
  </conditionalFormatting>
  <conditionalFormatting sqref="H66">
    <cfRule type="cellIs" priority="483" dxfId="1" operator="equal" stopIfTrue="1">
      <formula>"NA"</formula>
    </cfRule>
    <cfRule type="cellIs" priority="484" dxfId="0" operator="equal" stopIfTrue="1">
      <formula>"NA"</formula>
    </cfRule>
  </conditionalFormatting>
  <conditionalFormatting sqref="H55">
    <cfRule type="cellIs" priority="481" dxfId="1" operator="equal" stopIfTrue="1">
      <formula>"NA"</formula>
    </cfRule>
    <cfRule type="cellIs" priority="482" dxfId="0" operator="equal" stopIfTrue="1">
      <formula>"NA"</formula>
    </cfRule>
  </conditionalFormatting>
  <conditionalFormatting sqref="H56:H57">
    <cfRule type="cellIs" priority="479" dxfId="1" operator="equal" stopIfTrue="1">
      <formula>"NA"</formula>
    </cfRule>
    <cfRule type="cellIs" priority="480" dxfId="0" operator="equal" stopIfTrue="1">
      <formula>"NA"</formula>
    </cfRule>
  </conditionalFormatting>
  <conditionalFormatting sqref="H58:H65">
    <cfRule type="cellIs" priority="477" dxfId="1" operator="equal" stopIfTrue="1">
      <formula>"NA"</formula>
    </cfRule>
    <cfRule type="cellIs" priority="478" dxfId="0" operator="equal" stopIfTrue="1">
      <formula>"NA"</formula>
    </cfRule>
  </conditionalFormatting>
  <conditionalFormatting sqref="H78">
    <cfRule type="cellIs" priority="475" dxfId="1" operator="equal" stopIfTrue="1">
      <formula>"NA"</formula>
    </cfRule>
    <cfRule type="cellIs" priority="476" dxfId="0" operator="equal" stopIfTrue="1">
      <formula>"NA"</formula>
    </cfRule>
  </conditionalFormatting>
  <conditionalFormatting sqref="H67">
    <cfRule type="cellIs" priority="473" dxfId="1" operator="equal" stopIfTrue="1">
      <formula>"NA"</formula>
    </cfRule>
    <cfRule type="cellIs" priority="474" dxfId="0" operator="equal" stopIfTrue="1">
      <formula>"NA"</formula>
    </cfRule>
  </conditionalFormatting>
  <conditionalFormatting sqref="H68:H69">
    <cfRule type="cellIs" priority="471" dxfId="1" operator="equal" stopIfTrue="1">
      <formula>"NA"</formula>
    </cfRule>
    <cfRule type="cellIs" priority="472" dxfId="0" operator="equal" stopIfTrue="1">
      <formula>"NA"</formula>
    </cfRule>
  </conditionalFormatting>
  <conditionalFormatting sqref="H70:H77">
    <cfRule type="cellIs" priority="469" dxfId="1" operator="equal" stopIfTrue="1">
      <formula>"NA"</formula>
    </cfRule>
    <cfRule type="cellIs" priority="470" dxfId="0" operator="equal" stopIfTrue="1">
      <formula>"NA"</formula>
    </cfRule>
  </conditionalFormatting>
  <conditionalFormatting sqref="H90:H91">
    <cfRule type="cellIs" priority="467" dxfId="1" operator="equal" stopIfTrue="1">
      <formula>"NA"</formula>
    </cfRule>
    <cfRule type="cellIs" priority="468" dxfId="0" operator="equal" stopIfTrue="1">
      <formula>"NA"</formula>
    </cfRule>
  </conditionalFormatting>
  <conditionalFormatting sqref="H79">
    <cfRule type="cellIs" priority="465" dxfId="1" operator="equal" stopIfTrue="1">
      <formula>"NA"</formula>
    </cfRule>
    <cfRule type="cellIs" priority="466" dxfId="0" operator="equal" stopIfTrue="1">
      <formula>"NA"</formula>
    </cfRule>
  </conditionalFormatting>
  <conditionalFormatting sqref="H80:H81">
    <cfRule type="cellIs" priority="463" dxfId="1" operator="equal" stopIfTrue="1">
      <formula>"NA"</formula>
    </cfRule>
    <cfRule type="cellIs" priority="464" dxfId="0" operator="equal" stopIfTrue="1">
      <formula>"NA"</formula>
    </cfRule>
  </conditionalFormatting>
  <conditionalFormatting sqref="H82:H89">
    <cfRule type="cellIs" priority="461" dxfId="1" operator="equal" stopIfTrue="1">
      <formula>"NA"</formula>
    </cfRule>
    <cfRule type="cellIs" priority="462" dxfId="0" operator="equal" stopIfTrue="1">
      <formula>"NA"</formula>
    </cfRule>
  </conditionalFormatting>
  <conditionalFormatting sqref="H95:H109">
    <cfRule type="cellIs" priority="457" dxfId="1" operator="equal" stopIfTrue="1">
      <formula>"NA"</formula>
    </cfRule>
    <cfRule type="cellIs" priority="458" dxfId="0" operator="equal" stopIfTrue="1">
      <formula>"NA"</formula>
    </cfRule>
  </conditionalFormatting>
  <conditionalFormatting sqref="H118">
    <cfRule type="cellIs" priority="455" dxfId="1" operator="equal" stopIfTrue="1">
      <formula>"NA"</formula>
    </cfRule>
    <cfRule type="cellIs" priority="456" dxfId="0" operator="equal" stopIfTrue="1">
      <formula>"NA"</formula>
    </cfRule>
  </conditionalFormatting>
  <conditionalFormatting sqref="H119">
    <cfRule type="cellIs" priority="453" dxfId="1" operator="equal" stopIfTrue="1">
      <formula>"NA"</formula>
    </cfRule>
    <cfRule type="cellIs" priority="454" dxfId="0" operator="equal" stopIfTrue="1">
      <formula>"NA"</formula>
    </cfRule>
  </conditionalFormatting>
  <conditionalFormatting sqref="H120">
    <cfRule type="cellIs" priority="447" dxfId="1" operator="equal" stopIfTrue="1">
      <formula>"NA"</formula>
    </cfRule>
    <cfRule type="cellIs" priority="448" dxfId="0" operator="equal" stopIfTrue="1">
      <formula>"NA"</formula>
    </cfRule>
  </conditionalFormatting>
  <conditionalFormatting sqref="H220">
    <cfRule type="cellIs" priority="437" dxfId="1" operator="equal" stopIfTrue="1">
      <formula>"NA"</formula>
    </cfRule>
    <cfRule type="cellIs" priority="438" dxfId="0" operator="equal" stopIfTrue="1">
      <formula>"NA"</formula>
    </cfRule>
  </conditionalFormatting>
  <conditionalFormatting sqref="H221:H223">
    <cfRule type="cellIs" priority="435" dxfId="1" operator="equal" stopIfTrue="1">
      <formula>"NA"</formula>
    </cfRule>
    <cfRule type="cellIs" priority="436" dxfId="0" operator="equal" stopIfTrue="1">
      <formula>"NA"</formula>
    </cfRule>
  </conditionalFormatting>
  <conditionalFormatting sqref="H224">
    <cfRule type="cellIs" priority="431" dxfId="1" operator="equal" stopIfTrue="1">
      <formula>"NA"</formula>
    </cfRule>
    <cfRule type="cellIs" priority="432" dxfId="0" operator="equal" stopIfTrue="1">
      <formula>"NA"</formula>
    </cfRule>
  </conditionalFormatting>
  <conditionalFormatting sqref="H228:H230">
    <cfRule type="cellIs" priority="429" dxfId="1" operator="equal" stopIfTrue="1">
      <formula>"NA"</formula>
    </cfRule>
    <cfRule type="cellIs" priority="430" dxfId="0" operator="equal" stopIfTrue="1">
      <formula>"NA"</formula>
    </cfRule>
  </conditionalFormatting>
  <conditionalFormatting sqref="H238:H239">
    <cfRule type="cellIs" priority="427" dxfId="1" operator="equal" stopIfTrue="1">
      <formula>"NA"</formula>
    </cfRule>
    <cfRule type="cellIs" priority="428" dxfId="0" operator="equal" stopIfTrue="1">
      <formula>"NA"</formula>
    </cfRule>
  </conditionalFormatting>
  <conditionalFormatting sqref="H246:H248">
    <cfRule type="cellIs" priority="423" dxfId="1" operator="equal" stopIfTrue="1">
      <formula>"NA"</formula>
    </cfRule>
    <cfRule type="cellIs" priority="424" dxfId="0" operator="equal" stopIfTrue="1">
      <formula>"NA"</formula>
    </cfRule>
  </conditionalFormatting>
  <conditionalFormatting sqref="H250">
    <cfRule type="cellIs" priority="421" dxfId="1" operator="equal" stopIfTrue="1">
      <formula>"NA"</formula>
    </cfRule>
    <cfRule type="cellIs" priority="422" dxfId="0" operator="equal" stopIfTrue="1">
      <formula>"NA"</formula>
    </cfRule>
  </conditionalFormatting>
  <conditionalFormatting sqref="H249">
    <cfRule type="cellIs" priority="417" dxfId="1" operator="equal" stopIfTrue="1">
      <formula>"NA"</formula>
    </cfRule>
    <cfRule type="cellIs" priority="418" dxfId="0" operator="equal" stopIfTrue="1">
      <formula>"NA"</formula>
    </cfRule>
  </conditionalFormatting>
  <conditionalFormatting sqref="H251">
    <cfRule type="cellIs" priority="415" dxfId="1" operator="equal" stopIfTrue="1">
      <formula>"NA"</formula>
    </cfRule>
    <cfRule type="cellIs" priority="416" dxfId="0" operator="equal" stopIfTrue="1">
      <formula>"NA"</formula>
    </cfRule>
  </conditionalFormatting>
  <conditionalFormatting sqref="H252">
    <cfRule type="cellIs" priority="413" dxfId="1" operator="equal" stopIfTrue="1">
      <formula>"NA"</formula>
    </cfRule>
    <cfRule type="cellIs" priority="414" dxfId="0" operator="equal" stopIfTrue="1">
      <formula>"NA"</formula>
    </cfRule>
  </conditionalFormatting>
  <conditionalFormatting sqref="H259:H260">
    <cfRule type="cellIs" priority="411" dxfId="1" operator="equal" stopIfTrue="1">
      <formula>"NA"</formula>
    </cfRule>
    <cfRule type="cellIs" priority="412" dxfId="0" operator="equal" stopIfTrue="1">
      <formula>"NA"</formula>
    </cfRule>
  </conditionalFormatting>
  <conditionalFormatting sqref="H262">
    <cfRule type="cellIs" priority="409" dxfId="1" operator="equal" stopIfTrue="1">
      <formula>"NA"</formula>
    </cfRule>
    <cfRule type="cellIs" priority="410" dxfId="0" operator="equal" stopIfTrue="1">
      <formula>"NA"</formula>
    </cfRule>
  </conditionalFormatting>
  <conditionalFormatting sqref="H261">
    <cfRule type="cellIs" priority="405" dxfId="1" operator="equal" stopIfTrue="1">
      <formula>"NA"</formula>
    </cfRule>
    <cfRule type="cellIs" priority="406" dxfId="0" operator="equal" stopIfTrue="1">
      <formula>"NA"</formula>
    </cfRule>
  </conditionalFormatting>
  <conditionalFormatting sqref="H263">
    <cfRule type="cellIs" priority="403" dxfId="1" operator="equal" stopIfTrue="1">
      <formula>"NA"</formula>
    </cfRule>
    <cfRule type="cellIs" priority="404" dxfId="0" operator="equal" stopIfTrue="1">
      <formula>"NA"</formula>
    </cfRule>
  </conditionalFormatting>
  <conditionalFormatting sqref="H264">
    <cfRule type="cellIs" priority="401" dxfId="1" operator="equal" stopIfTrue="1">
      <formula>"NA"</formula>
    </cfRule>
    <cfRule type="cellIs" priority="402" dxfId="0" operator="equal" stopIfTrue="1">
      <formula>"NA"</formula>
    </cfRule>
  </conditionalFormatting>
  <conditionalFormatting sqref="H271:H272">
    <cfRule type="cellIs" priority="399" dxfId="1" operator="equal" stopIfTrue="1">
      <formula>"NA"</formula>
    </cfRule>
    <cfRule type="cellIs" priority="400" dxfId="0" operator="equal" stopIfTrue="1">
      <formula>"NA"</formula>
    </cfRule>
  </conditionalFormatting>
  <conditionalFormatting sqref="H274">
    <cfRule type="cellIs" priority="397" dxfId="1" operator="equal" stopIfTrue="1">
      <formula>"NA"</formula>
    </cfRule>
    <cfRule type="cellIs" priority="398" dxfId="0" operator="equal" stopIfTrue="1">
      <formula>"NA"</formula>
    </cfRule>
  </conditionalFormatting>
  <conditionalFormatting sqref="H273">
    <cfRule type="cellIs" priority="393" dxfId="1" operator="equal" stopIfTrue="1">
      <formula>"NA"</formula>
    </cfRule>
    <cfRule type="cellIs" priority="394" dxfId="0" operator="equal" stopIfTrue="1">
      <formula>"NA"</formula>
    </cfRule>
  </conditionalFormatting>
  <conditionalFormatting sqref="H275">
    <cfRule type="cellIs" priority="391" dxfId="1" operator="equal" stopIfTrue="1">
      <formula>"NA"</formula>
    </cfRule>
    <cfRule type="cellIs" priority="392" dxfId="0" operator="equal" stopIfTrue="1">
      <formula>"NA"</formula>
    </cfRule>
  </conditionalFormatting>
  <conditionalFormatting sqref="H276">
    <cfRule type="cellIs" priority="389" dxfId="1" operator="equal" stopIfTrue="1">
      <formula>"NA"</formula>
    </cfRule>
    <cfRule type="cellIs" priority="390" dxfId="0" operator="equal" stopIfTrue="1">
      <formula>"NA"</formula>
    </cfRule>
  </conditionalFormatting>
  <conditionalFormatting sqref="H283:H284">
    <cfRule type="cellIs" priority="387" dxfId="1" operator="equal" stopIfTrue="1">
      <formula>"NA"</formula>
    </cfRule>
    <cfRule type="cellIs" priority="388" dxfId="0" operator="equal" stopIfTrue="1">
      <formula>"NA"</formula>
    </cfRule>
  </conditionalFormatting>
  <conditionalFormatting sqref="H286">
    <cfRule type="cellIs" priority="385" dxfId="1" operator="equal" stopIfTrue="1">
      <formula>"NA"</formula>
    </cfRule>
    <cfRule type="cellIs" priority="386" dxfId="0" operator="equal" stopIfTrue="1">
      <formula>"NA"</formula>
    </cfRule>
  </conditionalFormatting>
  <conditionalFormatting sqref="H285">
    <cfRule type="cellIs" priority="381" dxfId="1" operator="equal" stopIfTrue="1">
      <formula>"NA"</formula>
    </cfRule>
    <cfRule type="cellIs" priority="382" dxfId="0" operator="equal" stopIfTrue="1">
      <formula>"NA"</formula>
    </cfRule>
  </conditionalFormatting>
  <conditionalFormatting sqref="H287">
    <cfRule type="cellIs" priority="379" dxfId="1" operator="equal" stopIfTrue="1">
      <formula>"NA"</formula>
    </cfRule>
    <cfRule type="cellIs" priority="380" dxfId="0" operator="equal" stopIfTrue="1">
      <formula>"NA"</formula>
    </cfRule>
  </conditionalFormatting>
  <conditionalFormatting sqref="H288">
    <cfRule type="cellIs" priority="377" dxfId="1" operator="equal" stopIfTrue="1">
      <formula>"NA"</formula>
    </cfRule>
    <cfRule type="cellIs" priority="378" dxfId="0" operator="equal" stopIfTrue="1">
      <formula>"NA"</formula>
    </cfRule>
  </conditionalFormatting>
  <conditionalFormatting sqref="H295:H296">
    <cfRule type="cellIs" priority="375" dxfId="1" operator="equal" stopIfTrue="1">
      <formula>"NA"</formula>
    </cfRule>
    <cfRule type="cellIs" priority="376" dxfId="0" operator="equal" stopIfTrue="1">
      <formula>"NA"</formula>
    </cfRule>
  </conditionalFormatting>
  <conditionalFormatting sqref="H298">
    <cfRule type="cellIs" priority="373" dxfId="1" operator="equal" stopIfTrue="1">
      <formula>"NA"</formula>
    </cfRule>
    <cfRule type="cellIs" priority="374" dxfId="0" operator="equal" stopIfTrue="1">
      <formula>"NA"</formula>
    </cfRule>
  </conditionalFormatting>
  <conditionalFormatting sqref="H297">
    <cfRule type="cellIs" priority="369" dxfId="1" operator="equal" stopIfTrue="1">
      <formula>"NA"</formula>
    </cfRule>
    <cfRule type="cellIs" priority="370" dxfId="0" operator="equal" stopIfTrue="1">
      <formula>"NA"</formula>
    </cfRule>
  </conditionalFormatting>
  <conditionalFormatting sqref="H299">
    <cfRule type="cellIs" priority="367" dxfId="1" operator="equal" stopIfTrue="1">
      <formula>"NA"</formula>
    </cfRule>
    <cfRule type="cellIs" priority="368" dxfId="0" operator="equal" stopIfTrue="1">
      <formula>"NA"</formula>
    </cfRule>
  </conditionalFormatting>
  <conditionalFormatting sqref="H300">
    <cfRule type="cellIs" priority="365" dxfId="1" operator="equal" stopIfTrue="1">
      <formula>"NA"</formula>
    </cfRule>
    <cfRule type="cellIs" priority="366" dxfId="0" operator="equal" stopIfTrue="1">
      <formula>"NA"</formula>
    </cfRule>
  </conditionalFormatting>
  <conditionalFormatting sqref="H307:H308">
    <cfRule type="cellIs" priority="363" dxfId="1" operator="equal" stopIfTrue="1">
      <formula>"NA"</formula>
    </cfRule>
    <cfRule type="cellIs" priority="364" dxfId="0" operator="equal" stopIfTrue="1">
      <formula>"NA"</formula>
    </cfRule>
  </conditionalFormatting>
  <conditionalFormatting sqref="H310">
    <cfRule type="cellIs" priority="361" dxfId="1" operator="equal" stopIfTrue="1">
      <formula>"NA"</formula>
    </cfRule>
    <cfRule type="cellIs" priority="362" dxfId="0" operator="equal" stopIfTrue="1">
      <formula>"NA"</formula>
    </cfRule>
  </conditionalFormatting>
  <conditionalFormatting sqref="H309">
    <cfRule type="cellIs" priority="357" dxfId="1" operator="equal" stopIfTrue="1">
      <formula>"NA"</formula>
    </cfRule>
    <cfRule type="cellIs" priority="358" dxfId="0" operator="equal" stopIfTrue="1">
      <formula>"NA"</formula>
    </cfRule>
  </conditionalFormatting>
  <conditionalFormatting sqref="H311">
    <cfRule type="cellIs" priority="355" dxfId="1" operator="equal" stopIfTrue="1">
      <formula>"NA"</formula>
    </cfRule>
    <cfRule type="cellIs" priority="356" dxfId="0" operator="equal" stopIfTrue="1">
      <formula>"NA"</formula>
    </cfRule>
  </conditionalFormatting>
  <conditionalFormatting sqref="H312">
    <cfRule type="cellIs" priority="353" dxfId="1" operator="equal" stopIfTrue="1">
      <formula>"NA"</formula>
    </cfRule>
    <cfRule type="cellIs" priority="354" dxfId="0" operator="equal" stopIfTrue="1">
      <formula>"NA"</formula>
    </cfRule>
  </conditionalFormatting>
  <conditionalFormatting sqref="H319:H320">
    <cfRule type="cellIs" priority="351" dxfId="1" operator="equal" stopIfTrue="1">
      <formula>"NA"</formula>
    </cfRule>
    <cfRule type="cellIs" priority="352" dxfId="0" operator="equal" stopIfTrue="1">
      <formula>"NA"</formula>
    </cfRule>
  </conditionalFormatting>
  <conditionalFormatting sqref="H322">
    <cfRule type="cellIs" priority="349" dxfId="1" operator="equal" stopIfTrue="1">
      <formula>"NA"</formula>
    </cfRule>
    <cfRule type="cellIs" priority="350" dxfId="0" operator="equal" stopIfTrue="1">
      <formula>"NA"</formula>
    </cfRule>
  </conditionalFormatting>
  <conditionalFormatting sqref="H321">
    <cfRule type="cellIs" priority="345" dxfId="1" operator="equal" stopIfTrue="1">
      <formula>"NA"</formula>
    </cfRule>
    <cfRule type="cellIs" priority="346" dxfId="0" operator="equal" stopIfTrue="1">
      <formula>"NA"</formula>
    </cfRule>
  </conditionalFormatting>
  <conditionalFormatting sqref="H323">
    <cfRule type="cellIs" priority="343" dxfId="1" operator="equal" stopIfTrue="1">
      <formula>"NA"</formula>
    </cfRule>
    <cfRule type="cellIs" priority="344" dxfId="0" operator="equal" stopIfTrue="1">
      <formula>"NA"</formula>
    </cfRule>
  </conditionalFormatting>
  <conditionalFormatting sqref="H324">
    <cfRule type="cellIs" priority="341" dxfId="1" operator="equal" stopIfTrue="1">
      <formula>"NA"</formula>
    </cfRule>
    <cfRule type="cellIs" priority="342" dxfId="0" operator="equal" stopIfTrue="1">
      <formula>"NA"</formula>
    </cfRule>
  </conditionalFormatting>
  <conditionalFormatting sqref="H331:H332">
    <cfRule type="cellIs" priority="339" dxfId="1" operator="equal" stopIfTrue="1">
      <formula>"NA"</formula>
    </cfRule>
    <cfRule type="cellIs" priority="340" dxfId="0" operator="equal" stopIfTrue="1">
      <formula>"NA"</formula>
    </cfRule>
  </conditionalFormatting>
  <conditionalFormatting sqref="H334">
    <cfRule type="cellIs" priority="337" dxfId="1" operator="equal" stopIfTrue="1">
      <formula>"NA"</formula>
    </cfRule>
    <cfRule type="cellIs" priority="338" dxfId="0" operator="equal" stopIfTrue="1">
      <formula>"NA"</formula>
    </cfRule>
  </conditionalFormatting>
  <conditionalFormatting sqref="H333">
    <cfRule type="cellIs" priority="333" dxfId="1" operator="equal" stopIfTrue="1">
      <formula>"NA"</formula>
    </cfRule>
    <cfRule type="cellIs" priority="334" dxfId="0" operator="equal" stopIfTrue="1">
      <formula>"NA"</formula>
    </cfRule>
  </conditionalFormatting>
  <conditionalFormatting sqref="H335">
    <cfRule type="cellIs" priority="331" dxfId="1" operator="equal" stopIfTrue="1">
      <formula>"NA"</formula>
    </cfRule>
    <cfRule type="cellIs" priority="332" dxfId="0" operator="equal" stopIfTrue="1">
      <formula>"NA"</formula>
    </cfRule>
  </conditionalFormatting>
  <conditionalFormatting sqref="H336">
    <cfRule type="cellIs" priority="329" dxfId="1" operator="equal" stopIfTrue="1">
      <formula>"NA"</formula>
    </cfRule>
    <cfRule type="cellIs" priority="330" dxfId="0" operator="equal" stopIfTrue="1">
      <formula>"NA"</formula>
    </cfRule>
  </conditionalFormatting>
  <conditionalFormatting sqref="H343">
    <cfRule type="cellIs" priority="327" dxfId="1" operator="equal" stopIfTrue="1">
      <formula>"NA"</formula>
    </cfRule>
    <cfRule type="cellIs" priority="328" dxfId="0" operator="equal" stopIfTrue="1">
      <formula>"NA"</formula>
    </cfRule>
  </conditionalFormatting>
  <conditionalFormatting sqref="H345">
    <cfRule type="cellIs" priority="325" dxfId="1" operator="equal" stopIfTrue="1">
      <formula>"NA"</formula>
    </cfRule>
    <cfRule type="cellIs" priority="326" dxfId="0" operator="equal" stopIfTrue="1">
      <formula>"NA"</formula>
    </cfRule>
  </conditionalFormatting>
  <conditionalFormatting sqref="H344">
    <cfRule type="cellIs" priority="321" dxfId="1" operator="equal" stopIfTrue="1">
      <formula>"NA"</formula>
    </cfRule>
    <cfRule type="cellIs" priority="322" dxfId="0" operator="equal" stopIfTrue="1">
      <formula>"NA"</formula>
    </cfRule>
  </conditionalFormatting>
  <conditionalFormatting sqref="H346">
    <cfRule type="cellIs" priority="319" dxfId="1" operator="equal" stopIfTrue="1">
      <formula>"NA"</formula>
    </cfRule>
    <cfRule type="cellIs" priority="320" dxfId="0" operator="equal" stopIfTrue="1">
      <formula>"NA"</formula>
    </cfRule>
  </conditionalFormatting>
  <conditionalFormatting sqref="H347">
    <cfRule type="cellIs" priority="317" dxfId="1" operator="equal" stopIfTrue="1">
      <formula>"NA"</formula>
    </cfRule>
    <cfRule type="cellIs" priority="318" dxfId="0" operator="equal" stopIfTrue="1">
      <formula>"NA"</formula>
    </cfRule>
  </conditionalFormatting>
  <conditionalFormatting sqref="H353">
    <cfRule type="cellIs" priority="315" dxfId="1" operator="equal" stopIfTrue="1">
      <formula>"NA"</formula>
    </cfRule>
    <cfRule type="cellIs" priority="316" dxfId="0" operator="equal" stopIfTrue="1">
      <formula>"NA"</formula>
    </cfRule>
  </conditionalFormatting>
  <conditionalFormatting sqref="H355">
    <cfRule type="cellIs" priority="313" dxfId="1" operator="equal" stopIfTrue="1">
      <formula>"NA"</formula>
    </cfRule>
    <cfRule type="cellIs" priority="314" dxfId="0" operator="equal" stopIfTrue="1">
      <formula>"NA"</formula>
    </cfRule>
  </conditionalFormatting>
  <conditionalFormatting sqref="H354">
    <cfRule type="cellIs" priority="309" dxfId="1" operator="equal" stopIfTrue="1">
      <formula>"NA"</formula>
    </cfRule>
    <cfRule type="cellIs" priority="310" dxfId="0" operator="equal" stopIfTrue="1">
      <formula>"NA"</formula>
    </cfRule>
  </conditionalFormatting>
  <conditionalFormatting sqref="H356">
    <cfRule type="cellIs" priority="307" dxfId="1" operator="equal" stopIfTrue="1">
      <formula>"NA"</formula>
    </cfRule>
    <cfRule type="cellIs" priority="308" dxfId="0" operator="equal" stopIfTrue="1">
      <formula>"NA"</formula>
    </cfRule>
  </conditionalFormatting>
  <conditionalFormatting sqref="H357">
    <cfRule type="cellIs" priority="305" dxfId="1" operator="equal" stopIfTrue="1">
      <formula>"NA"</formula>
    </cfRule>
    <cfRule type="cellIs" priority="306" dxfId="0" operator="equal" stopIfTrue="1">
      <formula>"NA"</formula>
    </cfRule>
  </conditionalFormatting>
  <conditionalFormatting sqref="H367">
    <cfRule type="cellIs" priority="303" dxfId="1" operator="equal" stopIfTrue="1">
      <formula>"NA"</formula>
    </cfRule>
    <cfRule type="cellIs" priority="304" dxfId="0" operator="equal" stopIfTrue="1">
      <formula>"NA"</formula>
    </cfRule>
  </conditionalFormatting>
  <conditionalFormatting sqref="H369">
    <cfRule type="cellIs" priority="301" dxfId="1" operator="equal" stopIfTrue="1">
      <formula>"NA"</formula>
    </cfRule>
    <cfRule type="cellIs" priority="302" dxfId="0" operator="equal" stopIfTrue="1">
      <formula>"NA"</formula>
    </cfRule>
  </conditionalFormatting>
  <conditionalFormatting sqref="H368">
    <cfRule type="cellIs" priority="297" dxfId="1" operator="equal" stopIfTrue="1">
      <formula>"NA"</formula>
    </cfRule>
    <cfRule type="cellIs" priority="298" dxfId="0" operator="equal" stopIfTrue="1">
      <formula>"NA"</formula>
    </cfRule>
  </conditionalFormatting>
  <conditionalFormatting sqref="H370">
    <cfRule type="cellIs" priority="295" dxfId="1" operator="equal" stopIfTrue="1">
      <formula>"NA"</formula>
    </cfRule>
    <cfRule type="cellIs" priority="296" dxfId="0" operator="equal" stopIfTrue="1">
      <formula>"NA"</formula>
    </cfRule>
  </conditionalFormatting>
  <conditionalFormatting sqref="H371">
    <cfRule type="cellIs" priority="293" dxfId="1" operator="equal" stopIfTrue="1">
      <formula>"NA"</formula>
    </cfRule>
    <cfRule type="cellIs" priority="294" dxfId="0" operator="equal" stopIfTrue="1">
      <formula>"NA"</formula>
    </cfRule>
  </conditionalFormatting>
  <conditionalFormatting sqref="H372">
    <cfRule type="cellIs" priority="291" dxfId="1" operator="equal" stopIfTrue="1">
      <formula>"NA"</formula>
    </cfRule>
    <cfRule type="cellIs" priority="292" dxfId="0" operator="equal" stopIfTrue="1">
      <formula>"NA"</formula>
    </cfRule>
  </conditionalFormatting>
  <conditionalFormatting sqref="H380">
    <cfRule type="cellIs" priority="289" dxfId="1" operator="equal" stopIfTrue="1">
      <formula>"NA"</formula>
    </cfRule>
    <cfRule type="cellIs" priority="290" dxfId="0" operator="equal" stopIfTrue="1">
      <formula>"NA"</formula>
    </cfRule>
  </conditionalFormatting>
  <conditionalFormatting sqref="H381">
    <cfRule type="cellIs" priority="285" dxfId="1" operator="equal" stopIfTrue="1">
      <formula>"NA"</formula>
    </cfRule>
    <cfRule type="cellIs" priority="286" dxfId="0" operator="equal" stopIfTrue="1">
      <formula>"NA"</formula>
    </cfRule>
  </conditionalFormatting>
  <conditionalFormatting sqref="H382">
    <cfRule type="cellIs" priority="283" dxfId="1" operator="equal" stopIfTrue="1">
      <formula>"NA"</formula>
    </cfRule>
    <cfRule type="cellIs" priority="284" dxfId="0" operator="equal" stopIfTrue="1">
      <formula>"NA"</formula>
    </cfRule>
  </conditionalFormatting>
  <conditionalFormatting sqref="H383">
    <cfRule type="cellIs" priority="281" dxfId="1" operator="equal" stopIfTrue="1">
      <formula>"NA"</formula>
    </cfRule>
    <cfRule type="cellIs" priority="282" dxfId="0" operator="equal" stopIfTrue="1">
      <formula>"NA"</formula>
    </cfRule>
  </conditionalFormatting>
  <conditionalFormatting sqref="H384">
    <cfRule type="cellIs" priority="279" dxfId="1" operator="equal" stopIfTrue="1">
      <formula>"NA"</formula>
    </cfRule>
    <cfRule type="cellIs" priority="280" dxfId="0" operator="equal" stopIfTrue="1">
      <formula>"NA"</formula>
    </cfRule>
  </conditionalFormatting>
  <conditionalFormatting sqref="H392">
    <cfRule type="cellIs" priority="277" dxfId="1" operator="equal" stopIfTrue="1">
      <formula>"NA"</formula>
    </cfRule>
    <cfRule type="cellIs" priority="278" dxfId="0" operator="equal" stopIfTrue="1">
      <formula>"NA"</formula>
    </cfRule>
  </conditionalFormatting>
  <conditionalFormatting sqref="H393">
    <cfRule type="cellIs" priority="273" dxfId="1" operator="equal" stopIfTrue="1">
      <formula>"NA"</formula>
    </cfRule>
    <cfRule type="cellIs" priority="274" dxfId="0" operator="equal" stopIfTrue="1">
      <formula>"NA"</formula>
    </cfRule>
  </conditionalFormatting>
  <conditionalFormatting sqref="H394">
    <cfRule type="cellIs" priority="271" dxfId="1" operator="equal" stopIfTrue="1">
      <formula>"NA"</formula>
    </cfRule>
    <cfRule type="cellIs" priority="272" dxfId="0" operator="equal" stopIfTrue="1">
      <formula>"NA"</formula>
    </cfRule>
  </conditionalFormatting>
  <conditionalFormatting sqref="H395">
    <cfRule type="cellIs" priority="269" dxfId="1" operator="equal" stopIfTrue="1">
      <formula>"NA"</formula>
    </cfRule>
    <cfRule type="cellIs" priority="270" dxfId="0" operator="equal" stopIfTrue="1">
      <formula>"NA"</formula>
    </cfRule>
  </conditionalFormatting>
  <conditionalFormatting sqref="H396">
    <cfRule type="cellIs" priority="267" dxfId="1" operator="equal" stopIfTrue="1">
      <formula>"NA"</formula>
    </cfRule>
    <cfRule type="cellIs" priority="268" dxfId="0" operator="equal" stopIfTrue="1">
      <formula>"NA"</formula>
    </cfRule>
  </conditionalFormatting>
  <conditionalFormatting sqref="H404">
    <cfRule type="cellIs" priority="265" dxfId="1" operator="equal" stopIfTrue="1">
      <formula>"NA"</formula>
    </cfRule>
    <cfRule type="cellIs" priority="266" dxfId="0" operator="equal" stopIfTrue="1">
      <formula>"NA"</formula>
    </cfRule>
  </conditionalFormatting>
  <conditionalFormatting sqref="H406">
    <cfRule type="cellIs" priority="263" dxfId="1" operator="equal" stopIfTrue="1">
      <formula>"NA"</formula>
    </cfRule>
    <cfRule type="cellIs" priority="264" dxfId="0" operator="equal" stopIfTrue="1">
      <formula>"NA"</formula>
    </cfRule>
  </conditionalFormatting>
  <conditionalFormatting sqref="H405">
    <cfRule type="cellIs" priority="259" dxfId="1" operator="equal" stopIfTrue="1">
      <formula>"NA"</formula>
    </cfRule>
    <cfRule type="cellIs" priority="260" dxfId="0" operator="equal" stopIfTrue="1">
      <formula>"NA"</formula>
    </cfRule>
  </conditionalFormatting>
  <conditionalFormatting sqref="H407">
    <cfRule type="cellIs" priority="257" dxfId="1" operator="equal" stopIfTrue="1">
      <formula>"NA"</formula>
    </cfRule>
    <cfRule type="cellIs" priority="258" dxfId="0" operator="equal" stopIfTrue="1">
      <formula>"NA"</formula>
    </cfRule>
  </conditionalFormatting>
  <conditionalFormatting sqref="H408">
    <cfRule type="cellIs" priority="255" dxfId="1" operator="equal" stopIfTrue="1">
      <formula>"NA"</formula>
    </cfRule>
    <cfRule type="cellIs" priority="256" dxfId="0" operator="equal" stopIfTrue="1">
      <formula>"NA"</formula>
    </cfRule>
  </conditionalFormatting>
  <conditionalFormatting sqref="H409">
    <cfRule type="cellIs" priority="253" dxfId="1" operator="equal" stopIfTrue="1">
      <formula>"NA"</formula>
    </cfRule>
    <cfRule type="cellIs" priority="254" dxfId="0" operator="equal" stopIfTrue="1">
      <formula>"NA"</formula>
    </cfRule>
  </conditionalFormatting>
  <conditionalFormatting sqref="H410">
    <cfRule type="cellIs" priority="251" dxfId="1" operator="equal" stopIfTrue="1">
      <formula>"NA"</formula>
    </cfRule>
    <cfRule type="cellIs" priority="252" dxfId="0" operator="equal" stopIfTrue="1">
      <formula>"NA"</formula>
    </cfRule>
  </conditionalFormatting>
  <conditionalFormatting sqref="H419">
    <cfRule type="cellIs" priority="249" dxfId="1" operator="equal" stopIfTrue="1">
      <formula>"NA"</formula>
    </cfRule>
    <cfRule type="cellIs" priority="250" dxfId="0" operator="equal" stopIfTrue="1">
      <formula>"NA"</formula>
    </cfRule>
  </conditionalFormatting>
  <conditionalFormatting sqref="H421">
    <cfRule type="cellIs" priority="247" dxfId="1" operator="equal" stopIfTrue="1">
      <formula>"NA"</formula>
    </cfRule>
    <cfRule type="cellIs" priority="248" dxfId="0" operator="equal" stopIfTrue="1">
      <formula>"NA"</formula>
    </cfRule>
  </conditionalFormatting>
  <conditionalFormatting sqref="H420">
    <cfRule type="cellIs" priority="243" dxfId="1" operator="equal" stopIfTrue="1">
      <formula>"NA"</formula>
    </cfRule>
    <cfRule type="cellIs" priority="244" dxfId="0" operator="equal" stopIfTrue="1">
      <formula>"NA"</formula>
    </cfRule>
  </conditionalFormatting>
  <conditionalFormatting sqref="H422">
    <cfRule type="cellIs" priority="241" dxfId="1" operator="equal" stopIfTrue="1">
      <formula>"NA"</formula>
    </cfRule>
    <cfRule type="cellIs" priority="242" dxfId="0" operator="equal" stopIfTrue="1">
      <formula>"NA"</formula>
    </cfRule>
  </conditionalFormatting>
  <conditionalFormatting sqref="H423">
    <cfRule type="cellIs" priority="239" dxfId="1" operator="equal" stopIfTrue="1">
      <formula>"NA"</formula>
    </cfRule>
    <cfRule type="cellIs" priority="240" dxfId="0" operator="equal" stopIfTrue="1">
      <formula>"NA"</formula>
    </cfRule>
  </conditionalFormatting>
  <conditionalFormatting sqref="H424">
    <cfRule type="cellIs" priority="237" dxfId="1" operator="equal" stopIfTrue="1">
      <formula>"NA"</formula>
    </cfRule>
    <cfRule type="cellIs" priority="238" dxfId="0" operator="equal" stopIfTrue="1">
      <formula>"NA"</formula>
    </cfRule>
  </conditionalFormatting>
  <conditionalFormatting sqref="H425">
    <cfRule type="cellIs" priority="235" dxfId="1" operator="equal" stopIfTrue="1">
      <formula>"NA"</formula>
    </cfRule>
    <cfRule type="cellIs" priority="236" dxfId="0" operator="equal" stopIfTrue="1">
      <formula>"NA"</formula>
    </cfRule>
  </conditionalFormatting>
  <conditionalFormatting sqref="H434">
    <cfRule type="cellIs" priority="233" dxfId="1" operator="equal" stopIfTrue="1">
      <formula>"NA"</formula>
    </cfRule>
    <cfRule type="cellIs" priority="234" dxfId="0" operator="equal" stopIfTrue="1">
      <formula>"NA"</formula>
    </cfRule>
  </conditionalFormatting>
  <conditionalFormatting sqref="H436">
    <cfRule type="cellIs" priority="231" dxfId="1" operator="equal" stopIfTrue="1">
      <formula>"NA"</formula>
    </cfRule>
    <cfRule type="cellIs" priority="232" dxfId="0" operator="equal" stopIfTrue="1">
      <formula>"NA"</formula>
    </cfRule>
  </conditionalFormatting>
  <conditionalFormatting sqref="H435">
    <cfRule type="cellIs" priority="227" dxfId="1" operator="equal" stopIfTrue="1">
      <formula>"NA"</formula>
    </cfRule>
    <cfRule type="cellIs" priority="228" dxfId="0" operator="equal" stopIfTrue="1">
      <formula>"NA"</formula>
    </cfRule>
  </conditionalFormatting>
  <conditionalFormatting sqref="H437">
    <cfRule type="cellIs" priority="225" dxfId="1" operator="equal" stopIfTrue="1">
      <formula>"NA"</formula>
    </cfRule>
    <cfRule type="cellIs" priority="226" dxfId="0" operator="equal" stopIfTrue="1">
      <formula>"NA"</formula>
    </cfRule>
  </conditionalFormatting>
  <conditionalFormatting sqref="H438">
    <cfRule type="cellIs" priority="223" dxfId="1" operator="equal" stopIfTrue="1">
      <formula>"NA"</formula>
    </cfRule>
    <cfRule type="cellIs" priority="224" dxfId="0" operator="equal" stopIfTrue="1">
      <formula>"NA"</formula>
    </cfRule>
  </conditionalFormatting>
  <conditionalFormatting sqref="H439">
    <cfRule type="cellIs" priority="221" dxfId="1" operator="equal" stopIfTrue="1">
      <formula>"NA"</formula>
    </cfRule>
    <cfRule type="cellIs" priority="222" dxfId="0" operator="equal" stopIfTrue="1">
      <formula>"NA"</formula>
    </cfRule>
  </conditionalFormatting>
  <conditionalFormatting sqref="H451">
    <cfRule type="cellIs" priority="219" dxfId="1" operator="equal" stopIfTrue="1">
      <formula>"NA"</formula>
    </cfRule>
    <cfRule type="cellIs" priority="220" dxfId="0" operator="equal" stopIfTrue="1">
      <formula>"NA"</formula>
    </cfRule>
  </conditionalFormatting>
  <conditionalFormatting sqref="H452">
    <cfRule type="cellIs" priority="215" dxfId="1" operator="equal" stopIfTrue="1">
      <formula>"NA"</formula>
    </cfRule>
    <cfRule type="cellIs" priority="216" dxfId="0" operator="equal" stopIfTrue="1">
      <formula>"NA"</formula>
    </cfRule>
  </conditionalFormatting>
  <conditionalFormatting sqref="H453">
    <cfRule type="cellIs" priority="213" dxfId="1" operator="equal" stopIfTrue="1">
      <formula>"NA"</formula>
    </cfRule>
    <cfRule type="cellIs" priority="214" dxfId="0" operator="equal" stopIfTrue="1">
      <formula>"NA"</formula>
    </cfRule>
  </conditionalFormatting>
  <conditionalFormatting sqref="H454">
    <cfRule type="cellIs" priority="211" dxfId="1" operator="equal" stopIfTrue="1">
      <formula>"NA"</formula>
    </cfRule>
    <cfRule type="cellIs" priority="212" dxfId="0" operator="equal" stopIfTrue="1">
      <formula>"NA"</formula>
    </cfRule>
  </conditionalFormatting>
  <conditionalFormatting sqref="H455">
    <cfRule type="cellIs" priority="209" dxfId="1" operator="equal" stopIfTrue="1">
      <formula>"NA"</formula>
    </cfRule>
    <cfRule type="cellIs" priority="210" dxfId="0" operator="equal" stopIfTrue="1">
      <formula>"NA"</formula>
    </cfRule>
  </conditionalFormatting>
  <conditionalFormatting sqref="H463">
    <cfRule type="cellIs" priority="207" dxfId="1" operator="equal" stopIfTrue="1">
      <formula>"NA"</formula>
    </cfRule>
    <cfRule type="cellIs" priority="208" dxfId="0" operator="equal" stopIfTrue="1">
      <formula>"NA"</formula>
    </cfRule>
  </conditionalFormatting>
  <conditionalFormatting sqref="H464">
    <cfRule type="cellIs" priority="203" dxfId="1" operator="equal" stopIfTrue="1">
      <formula>"NA"</formula>
    </cfRule>
    <cfRule type="cellIs" priority="204" dxfId="0" operator="equal" stopIfTrue="1">
      <formula>"NA"</formula>
    </cfRule>
  </conditionalFormatting>
  <conditionalFormatting sqref="H465">
    <cfRule type="cellIs" priority="201" dxfId="1" operator="equal" stopIfTrue="1">
      <formula>"NA"</formula>
    </cfRule>
    <cfRule type="cellIs" priority="202" dxfId="0" operator="equal" stopIfTrue="1">
      <formula>"NA"</formula>
    </cfRule>
  </conditionalFormatting>
  <conditionalFormatting sqref="H466">
    <cfRule type="cellIs" priority="199" dxfId="1" operator="equal" stopIfTrue="1">
      <formula>"NA"</formula>
    </cfRule>
    <cfRule type="cellIs" priority="200" dxfId="0" operator="equal" stopIfTrue="1">
      <formula>"NA"</formula>
    </cfRule>
  </conditionalFormatting>
  <conditionalFormatting sqref="H484">
    <cfRule type="cellIs" priority="197" dxfId="1" operator="equal" stopIfTrue="1">
      <formula>"NA"</formula>
    </cfRule>
    <cfRule type="cellIs" priority="198" dxfId="0" operator="equal" stopIfTrue="1">
      <formula>"NA"</formula>
    </cfRule>
  </conditionalFormatting>
  <conditionalFormatting sqref="H485">
    <cfRule type="cellIs" priority="195" dxfId="1" operator="equal" stopIfTrue="1">
      <formula>"NA"</formula>
    </cfRule>
    <cfRule type="cellIs" priority="196" dxfId="0" operator="equal" stopIfTrue="1">
      <formula>"NA"</formula>
    </cfRule>
  </conditionalFormatting>
  <conditionalFormatting sqref="H486">
    <cfRule type="cellIs" priority="193" dxfId="1" operator="equal" stopIfTrue="1">
      <formula>"NA"</formula>
    </cfRule>
    <cfRule type="cellIs" priority="194" dxfId="0" operator="equal" stopIfTrue="1">
      <formula>"NA"</formula>
    </cfRule>
  </conditionalFormatting>
  <conditionalFormatting sqref="H488">
    <cfRule type="cellIs" priority="191" dxfId="1" operator="equal" stopIfTrue="1">
      <formula>"NA"</formula>
    </cfRule>
    <cfRule type="cellIs" priority="192" dxfId="0" operator="equal" stopIfTrue="1">
      <formula>"NA"</formula>
    </cfRule>
  </conditionalFormatting>
  <conditionalFormatting sqref="H489">
    <cfRule type="cellIs" priority="189" dxfId="1" operator="equal" stopIfTrue="1">
      <formula>"NA"</formula>
    </cfRule>
    <cfRule type="cellIs" priority="190" dxfId="0" operator="equal" stopIfTrue="1">
      <formula>"NA"</formula>
    </cfRule>
  </conditionalFormatting>
  <conditionalFormatting sqref="H491">
    <cfRule type="cellIs" priority="187" dxfId="1" operator="equal" stopIfTrue="1">
      <formula>"NA"</formula>
    </cfRule>
    <cfRule type="cellIs" priority="188" dxfId="0" operator="equal" stopIfTrue="1">
      <formula>"NA"</formula>
    </cfRule>
  </conditionalFormatting>
  <conditionalFormatting sqref="H492">
    <cfRule type="cellIs" priority="185" dxfId="1" operator="equal" stopIfTrue="1">
      <formula>"NA"</formula>
    </cfRule>
    <cfRule type="cellIs" priority="186" dxfId="0" operator="equal" stopIfTrue="1">
      <formula>"NA"</formula>
    </cfRule>
  </conditionalFormatting>
  <conditionalFormatting sqref="H493">
    <cfRule type="cellIs" priority="183" dxfId="1" operator="equal" stopIfTrue="1">
      <formula>"NA"</formula>
    </cfRule>
    <cfRule type="cellIs" priority="184" dxfId="0" operator="equal" stopIfTrue="1">
      <formula>"NA"</formula>
    </cfRule>
  </conditionalFormatting>
  <conditionalFormatting sqref="H494">
    <cfRule type="cellIs" priority="181" dxfId="1" operator="equal" stopIfTrue="1">
      <formula>"NA"</formula>
    </cfRule>
    <cfRule type="cellIs" priority="182" dxfId="0" operator="equal" stopIfTrue="1">
      <formula>"NA"</formula>
    </cfRule>
  </conditionalFormatting>
  <conditionalFormatting sqref="H258">
    <cfRule type="cellIs" priority="173" dxfId="1" operator="equal" stopIfTrue="1">
      <formula>"NA"</formula>
    </cfRule>
    <cfRule type="cellIs" priority="174" dxfId="0" operator="equal" stopIfTrue="1">
      <formula>"NA"</formula>
    </cfRule>
  </conditionalFormatting>
  <conditionalFormatting sqref="H270">
    <cfRule type="cellIs" priority="171" dxfId="1" operator="equal" stopIfTrue="1">
      <formula>"NA"</formula>
    </cfRule>
    <cfRule type="cellIs" priority="172" dxfId="0" operator="equal" stopIfTrue="1">
      <formula>"NA"</formula>
    </cfRule>
  </conditionalFormatting>
  <conditionalFormatting sqref="H282">
    <cfRule type="cellIs" priority="169" dxfId="1" operator="equal" stopIfTrue="1">
      <formula>"NA"</formula>
    </cfRule>
    <cfRule type="cellIs" priority="170" dxfId="0" operator="equal" stopIfTrue="1">
      <formula>"NA"</formula>
    </cfRule>
  </conditionalFormatting>
  <conditionalFormatting sqref="H294">
    <cfRule type="cellIs" priority="167" dxfId="1" operator="equal" stopIfTrue="1">
      <formula>"NA"</formula>
    </cfRule>
    <cfRule type="cellIs" priority="168" dxfId="0" operator="equal" stopIfTrue="1">
      <formula>"NA"</formula>
    </cfRule>
  </conditionalFormatting>
  <conditionalFormatting sqref="H306">
    <cfRule type="cellIs" priority="165" dxfId="1" operator="equal" stopIfTrue="1">
      <formula>"NA"</formula>
    </cfRule>
    <cfRule type="cellIs" priority="166" dxfId="0" operator="equal" stopIfTrue="1">
      <formula>"NA"</formula>
    </cfRule>
  </conditionalFormatting>
  <conditionalFormatting sqref="H318">
    <cfRule type="cellIs" priority="163" dxfId="1" operator="equal" stopIfTrue="1">
      <formula>"NA"</formula>
    </cfRule>
    <cfRule type="cellIs" priority="164" dxfId="0" operator="equal" stopIfTrue="1">
      <formula>"NA"</formula>
    </cfRule>
  </conditionalFormatting>
  <conditionalFormatting sqref="H330">
    <cfRule type="cellIs" priority="161" dxfId="1" operator="equal" stopIfTrue="1">
      <formula>"NA"</formula>
    </cfRule>
    <cfRule type="cellIs" priority="162" dxfId="0" operator="equal" stopIfTrue="1">
      <formula>"NA"</formula>
    </cfRule>
  </conditionalFormatting>
  <conditionalFormatting sqref="H342">
    <cfRule type="cellIs" priority="159" dxfId="1" operator="equal" stopIfTrue="1">
      <formula>"NA"</formula>
    </cfRule>
    <cfRule type="cellIs" priority="160" dxfId="0" operator="equal" stopIfTrue="1">
      <formula>"NA"</formula>
    </cfRule>
  </conditionalFormatting>
  <conditionalFormatting sqref="H352">
    <cfRule type="cellIs" priority="157" dxfId="1" operator="equal" stopIfTrue="1">
      <formula>"NA"</formula>
    </cfRule>
    <cfRule type="cellIs" priority="158" dxfId="0" operator="equal" stopIfTrue="1">
      <formula>"NA"</formula>
    </cfRule>
  </conditionalFormatting>
  <conditionalFormatting sqref="H366">
    <cfRule type="cellIs" priority="155" dxfId="1" operator="equal" stopIfTrue="1">
      <formula>"NA"</formula>
    </cfRule>
    <cfRule type="cellIs" priority="156" dxfId="0" operator="equal" stopIfTrue="1">
      <formula>"NA"</formula>
    </cfRule>
  </conditionalFormatting>
  <conditionalFormatting sqref="H379">
    <cfRule type="cellIs" priority="153" dxfId="1" operator="equal" stopIfTrue="1">
      <formula>"NA"</formula>
    </cfRule>
    <cfRule type="cellIs" priority="154" dxfId="0" operator="equal" stopIfTrue="1">
      <formula>"NA"</formula>
    </cfRule>
  </conditionalFormatting>
  <conditionalFormatting sqref="H391">
    <cfRule type="cellIs" priority="151" dxfId="1" operator="equal" stopIfTrue="1">
      <formula>"NA"</formula>
    </cfRule>
    <cfRule type="cellIs" priority="152" dxfId="0" operator="equal" stopIfTrue="1">
      <formula>"NA"</formula>
    </cfRule>
  </conditionalFormatting>
  <conditionalFormatting sqref="H403">
    <cfRule type="cellIs" priority="149" dxfId="1" operator="equal" stopIfTrue="1">
      <formula>"NA"</formula>
    </cfRule>
    <cfRule type="cellIs" priority="150" dxfId="0" operator="equal" stopIfTrue="1">
      <formula>"NA"</formula>
    </cfRule>
  </conditionalFormatting>
  <conditionalFormatting sqref="H418">
    <cfRule type="cellIs" priority="147" dxfId="1" operator="equal" stopIfTrue="1">
      <formula>"NA"</formula>
    </cfRule>
    <cfRule type="cellIs" priority="148" dxfId="0" operator="equal" stopIfTrue="1">
      <formula>"NA"</formula>
    </cfRule>
  </conditionalFormatting>
  <conditionalFormatting sqref="H433">
    <cfRule type="cellIs" priority="145" dxfId="1" operator="equal" stopIfTrue="1">
      <formula>"NA"</formula>
    </cfRule>
    <cfRule type="cellIs" priority="146" dxfId="0" operator="equal" stopIfTrue="1">
      <formula>"NA"</formula>
    </cfRule>
  </conditionalFormatting>
  <conditionalFormatting sqref="H450">
    <cfRule type="cellIs" priority="143" dxfId="1" operator="equal" stopIfTrue="1">
      <formula>"NA"</formula>
    </cfRule>
    <cfRule type="cellIs" priority="144" dxfId="0" operator="equal" stopIfTrue="1">
      <formula>"NA"</formula>
    </cfRule>
  </conditionalFormatting>
  <conditionalFormatting sqref="H462">
    <cfRule type="cellIs" priority="141" dxfId="1" operator="equal" stopIfTrue="1">
      <formula>"NA"</formula>
    </cfRule>
    <cfRule type="cellIs" priority="142" dxfId="0" operator="equal" stopIfTrue="1">
      <formula>"NA"</formula>
    </cfRule>
  </conditionalFormatting>
  <conditionalFormatting sqref="H139:J139">
    <cfRule type="cellIs" priority="139" dxfId="1" operator="equal" stopIfTrue="1">
      <formula>"NA"</formula>
    </cfRule>
    <cfRule type="cellIs" priority="140" dxfId="0" operator="equal" stopIfTrue="1">
      <formula>"NA"</formula>
    </cfRule>
  </conditionalFormatting>
  <conditionalFormatting sqref="H143:H144">
    <cfRule type="cellIs" priority="137" dxfId="1" operator="equal" stopIfTrue="1">
      <formula>"NA"</formula>
    </cfRule>
    <cfRule type="cellIs" priority="138" dxfId="0" operator="equal" stopIfTrue="1">
      <formula>"NA"</formula>
    </cfRule>
  </conditionalFormatting>
  <conditionalFormatting sqref="H142">
    <cfRule type="cellIs" priority="135" dxfId="1" operator="equal" stopIfTrue="1">
      <formula>"NA"</formula>
    </cfRule>
    <cfRule type="cellIs" priority="136" dxfId="0" operator="equal" stopIfTrue="1">
      <formula>"NA"</formula>
    </cfRule>
  </conditionalFormatting>
  <conditionalFormatting sqref="H145">
    <cfRule type="cellIs" priority="133" dxfId="1" operator="equal" stopIfTrue="1">
      <formula>"NA"</formula>
    </cfRule>
    <cfRule type="cellIs" priority="134" dxfId="0" operator="equal" stopIfTrue="1">
      <formula>"NA"</formula>
    </cfRule>
  </conditionalFormatting>
  <conditionalFormatting sqref="H174">
    <cfRule type="cellIs" priority="115" dxfId="1" operator="equal" stopIfTrue="1">
      <formula>"NA"</formula>
    </cfRule>
    <cfRule type="cellIs" priority="116" dxfId="0" operator="equal" stopIfTrue="1">
      <formula>"NA"</formula>
    </cfRule>
  </conditionalFormatting>
  <conditionalFormatting sqref="H155:J155">
    <cfRule type="cellIs" priority="129" dxfId="1" operator="equal" stopIfTrue="1">
      <formula>"NA"</formula>
    </cfRule>
    <cfRule type="cellIs" priority="130" dxfId="0" operator="equal" stopIfTrue="1">
      <formula>"NA"</formula>
    </cfRule>
  </conditionalFormatting>
  <conditionalFormatting sqref="H159:H160">
    <cfRule type="cellIs" priority="127" dxfId="1" operator="equal" stopIfTrue="1">
      <formula>"NA"</formula>
    </cfRule>
    <cfRule type="cellIs" priority="128" dxfId="0" operator="equal" stopIfTrue="1">
      <formula>"NA"</formula>
    </cfRule>
  </conditionalFormatting>
  <conditionalFormatting sqref="H158">
    <cfRule type="cellIs" priority="125" dxfId="1" operator="equal" stopIfTrue="1">
      <formula>"NA"</formula>
    </cfRule>
    <cfRule type="cellIs" priority="126" dxfId="0" operator="equal" stopIfTrue="1">
      <formula>"NA"</formula>
    </cfRule>
  </conditionalFormatting>
  <conditionalFormatting sqref="H161">
    <cfRule type="cellIs" priority="123" dxfId="1" operator="equal" stopIfTrue="1">
      <formula>"NA"</formula>
    </cfRule>
    <cfRule type="cellIs" priority="124" dxfId="0" operator="equal" stopIfTrue="1">
      <formula>"NA"</formula>
    </cfRule>
  </conditionalFormatting>
  <conditionalFormatting sqref="H123:J123">
    <cfRule type="cellIs" priority="109" dxfId="1" operator="equal" stopIfTrue="1">
      <formula>"NA"</formula>
    </cfRule>
    <cfRule type="cellIs" priority="110" dxfId="0" operator="equal" stopIfTrue="1">
      <formula>"NA"</formula>
    </cfRule>
  </conditionalFormatting>
  <conditionalFormatting sqref="H171:J171">
    <cfRule type="cellIs" priority="119" dxfId="1" operator="equal" stopIfTrue="1">
      <formula>"NA"</formula>
    </cfRule>
    <cfRule type="cellIs" priority="120" dxfId="0" operator="equal" stopIfTrue="1">
      <formula>"NA"</formula>
    </cfRule>
  </conditionalFormatting>
  <conditionalFormatting sqref="H175:H176">
    <cfRule type="cellIs" priority="117" dxfId="1" operator="equal" stopIfTrue="1">
      <formula>"NA"</formula>
    </cfRule>
    <cfRule type="cellIs" priority="118" dxfId="0" operator="equal" stopIfTrue="1">
      <formula>"NA"</formula>
    </cfRule>
  </conditionalFormatting>
  <conditionalFormatting sqref="H177">
    <cfRule type="cellIs" priority="113" dxfId="1" operator="equal" stopIfTrue="1">
      <formula>"NA"</formula>
    </cfRule>
    <cfRule type="cellIs" priority="114" dxfId="0" operator="equal" stopIfTrue="1">
      <formula>"NA"</formula>
    </cfRule>
  </conditionalFormatting>
  <conditionalFormatting sqref="H129:H130">
    <cfRule type="cellIs" priority="103" dxfId="1" operator="equal" stopIfTrue="1">
      <formula>"NA"</formula>
    </cfRule>
    <cfRule type="cellIs" priority="104" dxfId="0" operator="equal" stopIfTrue="1">
      <formula>"NA"</formula>
    </cfRule>
  </conditionalFormatting>
  <conditionalFormatting sqref="H127:H128">
    <cfRule type="cellIs" priority="107" dxfId="1" operator="equal" stopIfTrue="1">
      <formula>"NA"</formula>
    </cfRule>
    <cfRule type="cellIs" priority="108" dxfId="0" operator="equal" stopIfTrue="1">
      <formula>"NA"</formula>
    </cfRule>
  </conditionalFormatting>
  <conditionalFormatting sqref="H126">
    <cfRule type="cellIs" priority="105" dxfId="1" operator="equal" stopIfTrue="1">
      <formula>"NA"</formula>
    </cfRule>
    <cfRule type="cellIs" priority="106" dxfId="0" operator="equal" stopIfTrue="1">
      <formula>"NA"</formula>
    </cfRule>
  </conditionalFormatting>
  <conditionalFormatting sqref="H131:H133">
    <cfRule type="cellIs" priority="101" dxfId="1" operator="equal" stopIfTrue="1">
      <formula>"NA"</formula>
    </cfRule>
    <cfRule type="cellIs" priority="102" dxfId="0" operator="equal" stopIfTrue="1">
      <formula>"NA"</formula>
    </cfRule>
  </conditionalFormatting>
  <conditionalFormatting sqref="E205:I205">
    <cfRule type="cellIs" priority="99" dxfId="1" operator="equal" stopIfTrue="1">
      <formula>"NA"</formula>
    </cfRule>
    <cfRule type="cellIs" priority="100" dxfId="0" operator="equal" stopIfTrue="1">
      <formula>"NA"</formula>
    </cfRule>
  </conditionalFormatting>
  <conditionalFormatting sqref="E208:I208">
    <cfRule type="cellIs" priority="95" dxfId="1" operator="equal" stopIfTrue="1">
      <formula>"NA"</formula>
    </cfRule>
    <cfRule type="cellIs" priority="96" dxfId="0" operator="equal" stopIfTrue="1">
      <formula>"NA"</formula>
    </cfRule>
  </conditionalFormatting>
  <conditionalFormatting sqref="E209:I209">
    <cfRule type="cellIs" priority="93" dxfId="1" operator="equal" stopIfTrue="1">
      <formula>"NA"</formula>
    </cfRule>
    <cfRule type="cellIs" priority="94" dxfId="0" operator="equal" stopIfTrue="1">
      <formula>"NA"</formula>
    </cfRule>
  </conditionalFormatting>
  <conditionalFormatting sqref="E207:H207">
    <cfRule type="cellIs" priority="87" dxfId="1" operator="equal" stopIfTrue="1">
      <formula>"NA"</formula>
    </cfRule>
    <cfRule type="cellIs" priority="88" dxfId="0" operator="equal" stopIfTrue="1">
      <formula>"NA"</formula>
    </cfRule>
  </conditionalFormatting>
  <conditionalFormatting sqref="H187:J187">
    <cfRule type="cellIs" priority="79" dxfId="1" operator="equal" stopIfTrue="1">
      <formula>"NA"</formula>
    </cfRule>
    <cfRule type="cellIs" priority="80" dxfId="0" operator="equal" stopIfTrue="1">
      <formula>"NA"</formula>
    </cfRule>
  </conditionalFormatting>
  <conditionalFormatting sqref="H191:H192">
    <cfRule type="cellIs" priority="77" dxfId="1" operator="equal" stopIfTrue="1">
      <formula>"NA"</formula>
    </cfRule>
    <cfRule type="cellIs" priority="78" dxfId="0" operator="equal" stopIfTrue="1">
      <formula>"NA"</formula>
    </cfRule>
  </conditionalFormatting>
  <conditionalFormatting sqref="H190">
    <cfRule type="cellIs" priority="75" dxfId="1" operator="equal" stopIfTrue="1">
      <formula>"NA"</formula>
    </cfRule>
    <cfRule type="cellIs" priority="76" dxfId="0" operator="equal" stopIfTrue="1">
      <formula>"NA"</formula>
    </cfRule>
  </conditionalFormatting>
  <conditionalFormatting sqref="H193">
    <cfRule type="cellIs" priority="73" dxfId="1" operator="equal" stopIfTrue="1">
      <formula>"NA"</formula>
    </cfRule>
    <cfRule type="cellIs" priority="74" dxfId="0" operator="equal" stopIfTrue="1">
      <formula>"NA"</formula>
    </cfRule>
  </conditionalFormatting>
  <conditionalFormatting sqref="I207">
    <cfRule type="cellIs" priority="65" dxfId="1" operator="equal" stopIfTrue="1">
      <formula>"NA"</formula>
    </cfRule>
    <cfRule type="cellIs" priority="66" dxfId="0" operator="equal" stopIfTrue="1">
      <formula>"NA"</formula>
    </cfRule>
  </conditionalFormatting>
  <conditionalFormatting sqref="H146">
    <cfRule type="cellIs" priority="55" dxfId="1" operator="equal" stopIfTrue="1">
      <formula>"NA"</formula>
    </cfRule>
    <cfRule type="cellIs" priority="56" dxfId="0" operator="equal" stopIfTrue="1">
      <formula>"NA"</formula>
    </cfRule>
  </conditionalFormatting>
  <conditionalFormatting sqref="H147:H149">
    <cfRule type="cellIs" priority="53" dxfId="1" operator="equal" stopIfTrue="1">
      <formula>"NA"</formula>
    </cfRule>
    <cfRule type="cellIs" priority="54" dxfId="0" operator="equal" stopIfTrue="1">
      <formula>"NA"</formula>
    </cfRule>
  </conditionalFormatting>
  <conditionalFormatting sqref="H162">
    <cfRule type="cellIs" priority="51" dxfId="1" operator="equal" stopIfTrue="1">
      <formula>"NA"</formula>
    </cfRule>
    <cfRule type="cellIs" priority="52" dxfId="0" operator="equal" stopIfTrue="1">
      <formula>"NA"</formula>
    </cfRule>
  </conditionalFormatting>
  <conditionalFormatting sqref="H163:H165">
    <cfRule type="cellIs" priority="49" dxfId="1" operator="equal" stopIfTrue="1">
      <formula>"NA"</formula>
    </cfRule>
    <cfRule type="cellIs" priority="50" dxfId="0" operator="equal" stopIfTrue="1">
      <formula>"NA"</formula>
    </cfRule>
  </conditionalFormatting>
  <conditionalFormatting sqref="H178">
    <cfRule type="cellIs" priority="47" dxfId="1" operator="equal" stopIfTrue="1">
      <formula>"NA"</formula>
    </cfRule>
    <cfRule type="cellIs" priority="48" dxfId="0" operator="equal" stopIfTrue="1">
      <formula>"NA"</formula>
    </cfRule>
  </conditionalFormatting>
  <conditionalFormatting sqref="H179:H181">
    <cfRule type="cellIs" priority="45" dxfId="1" operator="equal" stopIfTrue="1">
      <formula>"NA"</formula>
    </cfRule>
    <cfRule type="cellIs" priority="46" dxfId="0" operator="equal" stopIfTrue="1">
      <formula>"NA"</formula>
    </cfRule>
  </conditionalFormatting>
  <conditionalFormatting sqref="H194">
    <cfRule type="cellIs" priority="43" dxfId="1" operator="equal" stopIfTrue="1">
      <formula>"NA"</formula>
    </cfRule>
    <cfRule type="cellIs" priority="44" dxfId="0" operator="equal" stopIfTrue="1">
      <formula>"NA"</formula>
    </cfRule>
  </conditionalFormatting>
  <conditionalFormatting sqref="H195:H197">
    <cfRule type="cellIs" priority="41" dxfId="1" operator="equal" stopIfTrue="1">
      <formula>"NA"</formula>
    </cfRule>
    <cfRule type="cellIs" priority="42" dxfId="0" operator="equal" stopIfTrue="1">
      <formula>"NA"</formula>
    </cfRule>
  </conditionalFormatting>
  <conditionalFormatting sqref="A108:D108">
    <cfRule type="cellIs" priority="33" dxfId="1" operator="equal" stopIfTrue="1">
      <formula>"NA"</formula>
    </cfRule>
    <cfRule type="cellIs" priority="34" dxfId="0" operator="equal" stopIfTrue="1">
      <formula>"NA"</formula>
    </cfRule>
  </conditionalFormatting>
  <conditionalFormatting sqref="H231:J231">
    <cfRule type="cellIs" priority="31" dxfId="1" operator="equal" stopIfTrue="1">
      <formula>"NA"</formula>
    </cfRule>
    <cfRule type="cellIs" priority="32" dxfId="0" operator="equal" stopIfTrue="1">
      <formula>"NA"</formula>
    </cfRule>
  </conditionalFormatting>
  <conditionalFormatting sqref="H233:H234 H236">
    <cfRule type="cellIs" priority="29" dxfId="1" operator="equal" stopIfTrue="1">
      <formula>"NA"</formula>
    </cfRule>
    <cfRule type="cellIs" priority="30" dxfId="0" operator="equal" stopIfTrue="1">
      <formula>"NA"</formula>
    </cfRule>
  </conditionalFormatting>
  <conditionalFormatting sqref="H524:H530">
    <cfRule type="cellIs" priority="27" dxfId="1" operator="equal" stopIfTrue="1">
      <formula>"NA"</formula>
    </cfRule>
    <cfRule type="cellIs" priority="28" dxfId="0" operator="equal" stopIfTrue="1">
      <formula>"NA"</formula>
    </cfRule>
  </conditionalFormatting>
  <conditionalFormatting sqref="H533">
    <cfRule type="cellIs" priority="23" dxfId="1" operator="equal" stopIfTrue="1">
      <formula>"NA"</formula>
    </cfRule>
    <cfRule type="cellIs" priority="24" dxfId="0" operator="equal" stopIfTrue="1">
      <formula>"NA"</formula>
    </cfRule>
  </conditionalFormatting>
  <conditionalFormatting sqref="H536:H542">
    <cfRule type="cellIs" priority="21" dxfId="1" operator="equal" stopIfTrue="1">
      <formula>"NA"</formula>
    </cfRule>
    <cfRule type="cellIs" priority="22" dxfId="0" operator="equal" stopIfTrue="1">
      <formula>"NA"</formula>
    </cfRule>
  </conditionalFormatting>
  <conditionalFormatting sqref="H117">
    <cfRule type="cellIs" priority="19" dxfId="1" operator="equal" stopIfTrue="1">
      <formula>"NA"</formula>
    </cfRule>
    <cfRule type="cellIs" priority="20" dxfId="0" operator="equal" stopIfTrue="1">
      <formula>"NA"</formula>
    </cfRule>
  </conditionalFormatting>
  <conditionalFormatting sqref="H125">
    <cfRule type="cellIs" priority="17" dxfId="1" operator="equal" stopIfTrue="1">
      <formula>"NA"</formula>
    </cfRule>
    <cfRule type="cellIs" priority="18" dxfId="0" operator="equal" stopIfTrue="1">
      <formula>"NA"</formula>
    </cfRule>
  </conditionalFormatting>
  <conditionalFormatting sqref="H141">
    <cfRule type="cellIs" priority="15" dxfId="1" operator="equal" stopIfTrue="1">
      <formula>"NA"</formula>
    </cfRule>
    <cfRule type="cellIs" priority="16" dxfId="0" operator="equal" stopIfTrue="1">
      <formula>"NA"</formula>
    </cfRule>
  </conditionalFormatting>
  <conditionalFormatting sqref="H157">
    <cfRule type="cellIs" priority="13" dxfId="1" operator="equal" stopIfTrue="1">
      <formula>"NA"</formula>
    </cfRule>
    <cfRule type="cellIs" priority="14" dxfId="0" operator="equal" stopIfTrue="1">
      <formula>"NA"</formula>
    </cfRule>
  </conditionalFormatting>
  <conditionalFormatting sqref="H173">
    <cfRule type="cellIs" priority="11" dxfId="1" operator="equal" stopIfTrue="1">
      <formula>"NA"</formula>
    </cfRule>
    <cfRule type="cellIs" priority="12" dxfId="0" operator="equal" stopIfTrue="1">
      <formula>"NA"</formula>
    </cfRule>
  </conditionalFormatting>
  <conditionalFormatting sqref="H189">
    <cfRule type="cellIs" priority="9" dxfId="1" operator="equal" stopIfTrue="1">
      <formula>"NA"</formula>
    </cfRule>
    <cfRule type="cellIs" priority="10" dxfId="0" operator="equal" stopIfTrue="1">
      <formula>"NA"</formula>
    </cfRule>
  </conditionalFormatting>
  <conditionalFormatting sqref="H219">
    <cfRule type="cellIs" priority="7" dxfId="1" operator="equal" stopIfTrue="1">
      <formula>"NA"</formula>
    </cfRule>
    <cfRule type="cellIs" priority="8" dxfId="0" operator="equal" stopIfTrue="1">
      <formula>"NA"</formula>
    </cfRule>
  </conditionalFormatting>
  <conditionalFormatting sqref="H227">
    <cfRule type="cellIs" priority="5" dxfId="1" operator="equal" stopIfTrue="1">
      <formula>"NA"</formula>
    </cfRule>
    <cfRule type="cellIs" priority="6" dxfId="0" operator="equal" stopIfTrue="1">
      <formula>"NA"</formula>
    </cfRule>
  </conditionalFormatting>
  <conditionalFormatting sqref="H232">
    <cfRule type="cellIs" priority="3" dxfId="1" operator="equal" stopIfTrue="1">
      <formula>"NA"</formula>
    </cfRule>
    <cfRule type="cellIs" priority="4" dxfId="0" operator="equal" stopIfTrue="1">
      <formula>"NA"</formula>
    </cfRule>
  </conditionalFormatting>
  <conditionalFormatting sqref="E206:I206">
    <cfRule type="cellIs" priority="1" dxfId="1" operator="equal" stopIfTrue="1">
      <formula>"NA"</formula>
    </cfRule>
    <cfRule type="cellIs" priority="2" dxfId="0" operator="equal" stopIfTrue="1">
      <formula>"NA"</formula>
    </cfRule>
  </conditionalFormatting>
  <dataValidations count="6">
    <dataValidation type="list" allowBlank="1" showInputMessage="1" showErrorMessage="1" sqref="E204:I204 H544 E116:I116 A550 E188:I188 E140:I140 E156:I156 E172:I172 E124:I124 E524:G530 I524:I530">
      <formula1>"Yes,No"</formula1>
    </dataValidation>
    <dataValidation type="decimal" operator="notEqual" allowBlank="1" showInputMessage="1" showErrorMessage="1" promptTitle="Numeric Input" prompt="Please enter numeric values or leave blank" errorTitle="Text Alert" error="Please do not enter &quot;0&quot; or text" sqref="E518:G519 E509:G516 E26:G28 E80:G81 E68:G69 E119:G119 E127:G128 E221:G223 E163:G165 E56:G57 E250:G250 E258:G260 E270:G272 E282:G284 E294:G296 E306:G308 E318:G320 E330:G332 E345:G345 E355:G355 E369:G369 E379:G380 E391:G392 E406:G406 E421:G421 E436:G436 E450:G451 E462:G463 E484:G486 E488:G494 E32:G33 E44:G45 E246:G248 E262:G262 E274:G274 E286:G286 E298:G298 E310:G310 E322:G322 E334:G334 E342:G343 E352:G353 E366:G367 E403:G404 E418:G419 E433:G434 E143:G144 E147:G149 E159:G160 E191:G192 E175:G176 E131:G133 E179:G181 E195:G197 E117:G117 E125:G125 E141:G141 E157:G157 E173:G173 E189:G189 E219:G219 E227:G227 E232:G232">
      <formula1>0</formula1>
    </dataValidation>
    <dataValidation type="decimal" operator="greaterThan" showErrorMessage="1" promptTitle="Numeric Input" prompt="Please enter numeric values or leave blank" errorTitle="Text Alert" error="Please do not enter text" sqref="E7:G14 E17:G25 E31:G31 E34:G43 E46:G55 E58:G67 E70:G79 E82:G91 E464:G466 I236 E120:G120 E177:G178 E190:G190 E224:G224 I227:I230 E238:G239 I31:I91 E249:G249 E251:G252 I502:I504 E261:G261 E263:G264 I491:I494 E273:G273 E275:G276 I488:I489 E285:G285 E287:G288 I484:I486 E297:G297 E299:G300 I462:I466 E309:G309 E311:G312 I450:I455 E321:G321 E323:G324 I433:I439 E333:G333 E335:G336 I418:I425 E344:G344 E346:G347 I403:I410 E354:G354 E356:G357 I379:I384 E368:G368 E370:G372 I391:J396 E381:G384 I366:I372 E393:G396 I352:I357 E405:G405 E407:G410 I342:I347 E420:G420 E422:G425 I330:I336 E435:G435 E437:G439 I318:I324 E452:G455 I306:I312 J520 E193:G194 I294:I300 I7:I14 I17:I28 I509:I516 E95:G109 I117:I120 I189:I197 I219:I224 H543 I238:I239 I246:I252 I258:I264 I270:I276 I282:I288 I518:I520 I95:I109 E126:G126 I141:I149 I125:I133 E142:G142 I157:I165 E233:G236 E158:G158 E161:G162 E129:G130 E118:G118 I173:I181 E174:G174 I532:I543 H532 E536:G542 E533:G533 H534:H535">
      <formula1>-1</formula1>
    </dataValidation>
    <dataValidation type="decimal" operator="greaterThan" showErrorMessage="1" promptTitle="Numeric Input" prompt="Please enter numeric values or leave blank" errorTitle="Text Alert" error="Please do not enter text" sqref="E220:G220 H235:I235 E228:G230 I232:I234 E145:G146">
      <formula1>-1</formula1>
    </dataValidation>
    <dataValidation operator="greaterThan" showErrorMessage="1" promptTitle="Numeric Input" prompt="Please enter numeric values or leave blank" errorTitle="Text Alert" error="Please do not enter text" sqref="J7:J14 J17:J28 J31:J91 J95:J109 J116:J120 J172:J182 J219:J224 J204:J213 J238:J239 J246:J252 J258:J264 J270:J276 J282:J288 J294:J300 J306:J312 J318:J324 J330:J336 J342:J347 J352:J357 J366:J372 J379:J384 J403:J410 J418:J425 J433:J439 J450:J455 J462:J466 J484:J486 J488:J489 J491:J494 J506:J507 J498:J499 J502:J504 J509:J516 J518:J519 J524:J543 J140:J150 J156:J166 J124:J134 J188:J198 E208:I209 J227:J230 J232:J236 H524:H530 E205:I206"/>
    <dataValidation operator="notEqual" allowBlank="1" showInputMessage="1" showErrorMessage="1" promptTitle="Numeric Input" prompt="Please enter numeric values or leave blank" errorTitle="Text Alert" error="Please do not enter &quot;0&quot; or text" sqref="E134:I134 E182:I182 E166:I166 E150:I150 E207:I207 E198:I198 E210:I213"/>
  </dataValidations>
  <printOptions horizontalCentered="1"/>
  <pageMargins left="0.2362204724409449" right="0" top="0.2362204724409449" bottom="0.4330708661417323" header="0.31496062992125984" footer="0.31496062992125984"/>
  <pageSetup fitToHeight="3" orientation="landscape" paperSize="9" scale="63" r:id="rId1"/>
  <headerFooter>
    <oddFooter>&amp;CPage &amp;P of &amp;N&amp;RNote: Not to be quoted and not to be published without prior permission</oddFooter>
  </headerFooter>
  <rowBreaks count="6" manualBreakCount="6">
    <brk id="113" max="255" man="1"/>
    <brk id="290" max="255" man="1"/>
    <brk id="340" max="255" man="1"/>
    <brk id="372" max="255" man="1"/>
    <brk id="415" max="9" man="1"/>
    <brk id="48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showGridLines="0" zoomScale="85" zoomScaleNormal="85" zoomScalePageLayoutView="0" workbookViewId="0" topLeftCell="A1">
      <selection activeCell="B27" sqref="B27:F28"/>
    </sheetView>
  </sheetViews>
  <sheetFormatPr defaultColWidth="0" defaultRowHeight="0" customHeight="1" zeroHeight="1"/>
  <cols>
    <col min="1" max="1" width="7.00390625" style="163" customWidth="1"/>
    <col min="2" max="2" width="49.7109375" style="164" customWidth="1"/>
    <col min="3" max="3" width="16.00390625" style="164" customWidth="1"/>
    <col min="4" max="4" width="15.140625" style="165" customWidth="1"/>
    <col min="5" max="5" width="18.57421875" style="163" customWidth="1"/>
    <col min="6" max="6" width="19.00390625" style="164" customWidth="1"/>
    <col min="7" max="7" width="0" style="82" hidden="1" customWidth="1"/>
    <col min="8" max="8" width="0" style="55" hidden="1" customWidth="1"/>
    <col min="9" max="19" width="0" style="34" hidden="1" customWidth="1"/>
    <col min="20" max="255" width="8.8515625" style="34" hidden="1" customWidth="1"/>
    <col min="256" max="16384" width="0.5625" style="34" hidden="1" customWidth="1"/>
  </cols>
  <sheetData>
    <row r="1" spans="1:8" ht="15.75" thickBot="1">
      <c r="A1" s="75"/>
      <c r="B1" s="76"/>
      <c r="C1" s="76"/>
      <c r="D1" s="77"/>
      <c r="E1" s="78"/>
      <c r="F1" s="79"/>
      <c r="G1" s="34"/>
      <c r="H1" s="34"/>
    </row>
    <row r="2" spans="1:7" s="36" customFormat="1" ht="35.25" customHeight="1">
      <c r="A2" s="920" t="s">
        <v>1261</v>
      </c>
      <c r="B2" s="921"/>
      <c r="C2" s="921"/>
      <c r="D2" s="921"/>
      <c r="E2" s="921"/>
      <c r="F2" s="922"/>
      <c r="G2" s="35"/>
    </row>
    <row r="3" spans="1:7" s="81" customFormat="1" ht="18.75" customHeight="1">
      <c r="A3" s="923" t="str">
        <f>CONCATENATE('General Information'!A2,L1)</f>
        <v>Sector :-  Cement Sector</v>
      </c>
      <c r="B3" s="924"/>
      <c r="C3" s="924"/>
      <c r="D3" s="924"/>
      <c r="E3" s="924"/>
      <c r="F3" s="925"/>
      <c r="G3" s="80"/>
    </row>
    <row r="4" spans="1:11" ht="18.75" customHeight="1">
      <c r="A4" s="883" t="str">
        <f>CONCATENATE('General Information'!B3:B3)</f>
        <v>Name of the Unit</v>
      </c>
      <c r="B4" s="884"/>
      <c r="C4" s="926" t="str">
        <f>'Form-Sb'!C3</f>
        <v>  </v>
      </c>
      <c r="D4" s="926"/>
      <c r="E4" s="926"/>
      <c r="F4" s="927"/>
      <c r="H4" s="82"/>
      <c r="I4" s="82"/>
      <c r="J4" s="82"/>
      <c r="K4" s="55"/>
    </row>
    <row r="5" spans="1:11" ht="60">
      <c r="A5" s="344" t="s">
        <v>0</v>
      </c>
      <c r="B5" s="796" t="s">
        <v>1</v>
      </c>
      <c r="C5" s="797"/>
      <c r="D5" s="798" t="s">
        <v>2</v>
      </c>
      <c r="E5" s="799" t="str">
        <f>'Form-Sb'!H4</f>
        <v>Baseline Year (Average of year1 to Year 3)</v>
      </c>
      <c r="F5" s="799" t="str">
        <f>'Form-Sb'!I4</f>
        <v>Current/Assessment /Target Year    (20__-20__)</v>
      </c>
      <c r="H5" s="82"/>
      <c r="I5" s="82"/>
      <c r="J5" s="82"/>
      <c r="K5" s="55"/>
    </row>
    <row r="6" spans="1:11" s="86" customFormat="1" ht="13.5" customHeight="1">
      <c r="A6" s="344" t="s">
        <v>6</v>
      </c>
      <c r="B6" s="914" t="s">
        <v>5</v>
      </c>
      <c r="C6" s="915"/>
      <c r="D6" s="915"/>
      <c r="E6" s="915"/>
      <c r="F6" s="916"/>
      <c r="G6" s="84"/>
      <c r="H6" s="84"/>
      <c r="I6" s="84"/>
      <c r="J6" s="84"/>
      <c r="K6" s="85"/>
    </row>
    <row r="7" spans="1:11" ht="27.75" customHeight="1">
      <c r="A7" s="87" t="s">
        <v>63</v>
      </c>
      <c r="B7" s="88" t="s">
        <v>78</v>
      </c>
      <c r="C7" s="89" t="s">
        <v>159</v>
      </c>
      <c r="D7" s="90" t="s">
        <v>76</v>
      </c>
      <c r="E7" s="91">
        <f>'Form-Sb'!H7</f>
        <v>0</v>
      </c>
      <c r="F7" s="656">
        <f>'Form-Sb'!I7</f>
        <v>0</v>
      </c>
      <c r="H7" s="82"/>
      <c r="I7" s="82"/>
      <c r="J7" s="82"/>
      <c r="K7" s="55"/>
    </row>
    <row r="8" spans="1:11" ht="31.5" customHeight="1">
      <c r="A8" s="87" t="s">
        <v>64</v>
      </c>
      <c r="B8" s="88" t="s">
        <v>79</v>
      </c>
      <c r="C8" s="89" t="s">
        <v>159</v>
      </c>
      <c r="D8" s="92" t="s">
        <v>76</v>
      </c>
      <c r="E8" s="91">
        <f>'Form-Sb'!H8</f>
        <v>0</v>
      </c>
      <c r="F8" s="656">
        <f>'Form-Sb'!I8</f>
        <v>0</v>
      </c>
      <c r="H8" s="82"/>
      <c r="I8" s="82"/>
      <c r="J8" s="82"/>
      <c r="K8" s="55"/>
    </row>
    <row r="9" spans="1:11" ht="15">
      <c r="A9" s="87" t="s">
        <v>65</v>
      </c>
      <c r="B9" s="88" t="s">
        <v>80</v>
      </c>
      <c r="C9" s="89" t="s">
        <v>111</v>
      </c>
      <c r="D9" s="90" t="s">
        <v>76</v>
      </c>
      <c r="E9" s="93">
        <f>'Form-Sb'!H9</f>
        <v>0</v>
      </c>
      <c r="F9" s="675">
        <f>'Form-Sb'!I9-'Form-Sb'!I511</f>
        <v>0</v>
      </c>
      <c r="H9" s="82"/>
      <c r="I9" s="82"/>
      <c r="J9" s="82"/>
      <c r="K9" s="55"/>
    </row>
    <row r="10" spans="1:11" ht="15">
      <c r="A10" s="87" t="s">
        <v>77</v>
      </c>
      <c r="B10" s="88" t="s">
        <v>160</v>
      </c>
      <c r="C10" s="89" t="s">
        <v>111</v>
      </c>
      <c r="D10" s="92" t="s">
        <v>76</v>
      </c>
      <c r="E10" s="93">
        <f>'Form-Sb'!H10</f>
        <v>0</v>
      </c>
      <c r="F10" s="657">
        <f>'Form-Sb'!I10</f>
        <v>0</v>
      </c>
      <c r="H10" s="82"/>
      <c r="I10" s="82"/>
      <c r="J10" s="82"/>
      <c r="K10" s="55"/>
    </row>
    <row r="11" spans="1:11" ht="15">
      <c r="A11" s="87" t="s">
        <v>86</v>
      </c>
      <c r="B11" s="88" t="s">
        <v>190</v>
      </c>
      <c r="C11" s="89" t="s">
        <v>111</v>
      </c>
      <c r="D11" s="92" t="s">
        <v>76</v>
      </c>
      <c r="E11" s="93">
        <f>'Form-Sb'!H11</f>
        <v>0</v>
      </c>
      <c r="F11" s="657">
        <f>'Form-Sb'!I11</f>
        <v>0</v>
      </c>
      <c r="H11" s="82"/>
      <c r="I11" s="82"/>
      <c r="J11" s="82"/>
      <c r="K11" s="55"/>
    </row>
    <row r="12" spans="1:11" ht="15">
      <c r="A12" s="87" t="s">
        <v>87</v>
      </c>
      <c r="B12" s="88" t="s">
        <v>191</v>
      </c>
      <c r="C12" s="89" t="s">
        <v>111</v>
      </c>
      <c r="D12" s="92" t="s">
        <v>76</v>
      </c>
      <c r="E12" s="93">
        <f>'Form-Sb'!H12</f>
        <v>0</v>
      </c>
      <c r="F12" s="657">
        <f>'Form-Sb'!I12</f>
        <v>0</v>
      </c>
      <c r="H12" s="82"/>
      <c r="I12" s="82"/>
      <c r="J12" s="82"/>
      <c r="K12" s="55"/>
    </row>
    <row r="13" spans="1:11" ht="15">
      <c r="A13" s="87" t="s">
        <v>88</v>
      </c>
      <c r="B13" s="88" t="s">
        <v>192</v>
      </c>
      <c r="C13" s="89" t="s">
        <v>111</v>
      </c>
      <c r="D13" s="92" t="s">
        <v>76</v>
      </c>
      <c r="E13" s="93">
        <f>'Form-Sb'!H13</f>
        <v>0</v>
      </c>
      <c r="F13" s="657">
        <f>'Form-Sb'!I13</f>
        <v>0</v>
      </c>
      <c r="H13" s="82"/>
      <c r="I13" s="82"/>
      <c r="J13" s="82"/>
      <c r="K13" s="55"/>
    </row>
    <row r="14" spans="1:11" ht="15">
      <c r="A14" s="87" t="s">
        <v>89</v>
      </c>
      <c r="B14" s="88" t="s">
        <v>193</v>
      </c>
      <c r="C14" s="89" t="s">
        <v>111</v>
      </c>
      <c r="D14" s="92" t="s">
        <v>76</v>
      </c>
      <c r="E14" s="93">
        <f>'Form-Sb'!H14</f>
        <v>0</v>
      </c>
      <c r="F14" s="657">
        <f>'Form-Sb'!I14</f>
        <v>0</v>
      </c>
      <c r="H14" s="82"/>
      <c r="I14" s="82"/>
      <c r="J14" s="82"/>
      <c r="K14" s="55"/>
    </row>
    <row r="15" spans="1:11" ht="15">
      <c r="A15" s="87" t="s">
        <v>90</v>
      </c>
      <c r="B15" s="94" t="s">
        <v>84</v>
      </c>
      <c r="C15" s="36" t="s">
        <v>108</v>
      </c>
      <c r="D15" s="92" t="s">
        <v>3</v>
      </c>
      <c r="E15" s="93">
        <f>'Form-Sb'!H15</f>
        <v>0</v>
      </c>
      <c r="F15" s="657">
        <f>'Form-Sb'!I15</f>
        <v>0</v>
      </c>
      <c r="H15" s="82"/>
      <c r="I15" s="82"/>
      <c r="J15" s="82"/>
      <c r="K15" s="55"/>
    </row>
    <row r="16" spans="1:11" ht="15">
      <c r="A16" s="87" t="s">
        <v>91</v>
      </c>
      <c r="B16" s="94" t="s">
        <v>85</v>
      </c>
      <c r="C16" s="36" t="s">
        <v>109</v>
      </c>
      <c r="D16" s="92" t="s">
        <v>3</v>
      </c>
      <c r="E16" s="93">
        <f>'Form-Sb'!H16</f>
        <v>0</v>
      </c>
      <c r="F16" s="657">
        <f>'Form-Sb'!I16</f>
        <v>0</v>
      </c>
      <c r="H16" s="82"/>
      <c r="I16" s="82"/>
      <c r="J16" s="82"/>
      <c r="K16" s="55"/>
    </row>
    <row r="17" spans="1:11" ht="15">
      <c r="A17" s="87" t="s">
        <v>96</v>
      </c>
      <c r="B17" s="88" t="s">
        <v>81</v>
      </c>
      <c r="C17" s="89" t="s">
        <v>111</v>
      </c>
      <c r="D17" s="92" t="s">
        <v>76</v>
      </c>
      <c r="E17" s="93">
        <f>'Form-Sb'!H17</f>
        <v>0</v>
      </c>
      <c r="F17" s="657">
        <f>'Form-Sb'!I17</f>
        <v>0</v>
      </c>
      <c r="H17" s="82"/>
      <c r="I17" s="82"/>
      <c r="J17" s="82"/>
      <c r="K17" s="55"/>
    </row>
    <row r="18" spans="1:11" ht="15">
      <c r="A18" s="87" t="s">
        <v>97</v>
      </c>
      <c r="B18" s="88" t="s">
        <v>82</v>
      </c>
      <c r="C18" s="89" t="s">
        <v>111</v>
      </c>
      <c r="D18" s="92" t="s">
        <v>76</v>
      </c>
      <c r="E18" s="93">
        <f>'Form-Sb'!H18</f>
        <v>0</v>
      </c>
      <c r="F18" s="657">
        <f>'Form-Sb'!I18</f>
        <v>0</v>
      </c>
      <c r="H18" s="82"/>
      <c r="I18" s="82"/>
      <c r="J18" s="82"/>
      <c r="K18" s="55"/>
    </row>
    <row r="19" spans="1:11" ht="15" customHeight="1">
      <c r="A19" s="87" t="s">
        <v>98</v>
      </c>
      <c r="B19" s="88" t="s">
        <v>83</v>
      </c>
      <c r="C19" s="89" t="s">
        <v>111</v>
      </c>
      <c r="D19" s="92" t="s">
        <v>76</v>
      </c>
      <c r="E19" s="93">
        <f>'Form-Sb'!H19</f>
        <v>0</v>
      </c>
      <c r="F19" s="657">
        <f>'Form-Sb'!I19</f>
        <v>0</v>
      </c>
      <c r="H19" s="82"/>
      <c r="I19" s="82"/>
      <c r="J19" s="82"/>
      <c r="K19" s="55"/>
    </row>
    <row r="20" spans="1:11" ht="15" customHeight="1">
      <c r="A20" s="87" t="s">
        <v>166</v>
      </c>
      <c r="B20" s="88" t="s">
        <v>172</v>
      </c>
      <c r="C20" s="89" t="s">
        <v>111</v>
      </c>
      <c r="D20" s="92" t="s">
        <v>76</v>
      </c>
      <c r="E20" s="93">
        <f>'Form-Sb'!H20</f>
        <v>0</v>
      </c>
      <c r="F20" s="657">
        <f>'Form-Sb'!I20</f>
        <v>0</v>
      </c>
      <c r="H20" s="82"/>
      <c r="I20" s="82"/>
      <c r="J20" s="82"/>
      <c r="K20" s="55"/>
    </row>
    <row r="21" spans="1:11" ht="15" customHeight="1">
      <c r="A21" s="87" t="s">
        <v>167</v>
      </c>
      <c r="B21" s="88" t="s">
        <v>136</v>
      </c>
      <c r="C21" s="89" t="s">
        <v>111</v>
      </c>
      <c r="D21" s="92" t="s">
        <v>76</v>
      </c>
      <c r="E21" s="93">
        <f>'Form-Sb'!H21</f>
        <v>0</v>
      </c>
      <c r="F21" s="675">
        <f>'Form-Sb'!I21+'Form-Sb'!I511</f>
        <v>0</v>
      </c>
      <c r="H21" s="82"/>
      <c r="I21" s="82"/>
      <c r="J21" s="82"/>
      <c r="K21" s="55"/>
    </row>
    <row r="22" spans="1:12" s="86" customFormat="1" ht="15" customHeight="1">
      <c r="A22" s="344" t="s">
        <v>7</v>
      </c>
      <c r="B22" s="914" t="s">
        <v>207</v>
      </c>
      <c r="C22" s="915"/>
      <c r="D22" s="915"/>
      <c r="E22" s="915"/>
      <c r="F22" s="916"/>
      <c r="G22" s="918"/>
      <c r="H22" s="918"/>
      <c r="I22" s="918"/>
      <c r="J22" s="918"/>
      <c r="K22" s="919"/>
      <c r="L22" s="95"/>
    </row>
    <row r="23" spans="1:11" ht="15">
      <c r="A23" s="87" t="s">
        <v>208</v>
      </c>
      <c r="B23" s="88" t="s">
        <v>93</v>
      </c>
      <c r="C23" s="89" t="s">
        <v>111</v>
      </c>
      <c r="D23" s="92" t="s">
        <v>76</v>
      </c>
      <c r="E23" s="370">
        <f>'Form-Sb'!H22</f>
        <v>0</v>
      </c>
      <c r="F23" s="658">
        <f>'Form-Sb'!I22</f>
        <v>0</v>
      </c>
      <c r="H23" s="82"/>
      <c r="I23" s="82"/>
      <c r="J23" s="82"/>
      <c r="K23" s="55"/>
    </row>
    <row r="24" spans="1:11" ht="15">
      <c r="A24" s="96" t="s">
        <v>209</v>
      </c>
      <c r="B24" s="88" t="s">
        <v>92</v>
      </c>
      <c r="C24" s="89" t="s">
        <v>111</v>
      </c>
      <c r="D24" s="92" t="s">
        <v>76</v>
      </c>
      <c r="E24" s="370">
        <f>'Form-Sb'!H23</f>
        <v>0</v>
      </c>
      <c r="F24" s="658">
        <f>'Form-Sb'!I23</f>
        <v>0</v>
      </c>
      <c r="H24" s="82"/>
      <c r="I24" s="82"/>
      <c r="J24" s="82"/>
      <c r="K24" s="55"/>
    </row>
    <row r="25" spans="1:11" ht="15">
      <c r="A25" s="87" t="s">
        <v>210</v>
      </c>
      <c r="B25" s="88" t="s">
        <v>94</v>
      </c>
      <c r="C25" s="89" t="s">
        <v>111</v>
      </c>
      <c r="D25" s="92" t="s">
        <v>76</v>
      </c>
      <c r="E25" s="370">
        <f>'Form-Sb'!H24</f>
        <v>0</v>
      </c>
      <c r="F25" s="658">
        <f>'Form-Sb'!I24</f>
        <v>0</v>
      </c>
      <c r="H25" s="82"/>
      <c r="I25" s="82"/>
      <c r="J25" s="82"/>
      <c r="K25" s="55"/>
    </row>
    <row r="26" spans="1:11" ht="15">
      <c r="A26" s="96" t="s">
        <v>211</v>
      </c>
      <c r="B26" s="88" t="s">
        <v>95</v>
      </c>
      <c r="C26" s="89" t="s">
        <v>111</v>
      </c>
      <c r="D26" s="92" t="s">
        <v>76</v>
      </c>
      <c r="E26" s="370">
        <f>'Form-Sb'!H25</f>
        <v>0</v>
      </c>
      <c r="F26" s="658">
        <f>'Form-Sb'!I25</f>
        <v>0</v>
      </c>
      <c r="H26" s="82"/>
      <c r="I26" s="82"/>
      <c r="J26" s="82"/>
      <c r="K26" s="55"/>
    </row>
    <row r="27" spans="1:11" s="86" customFormat="1" ht="15.75" customHeight="1">
      <c r="A27" s="344" t="s">
        <v>35</v>
      </c>
      <c r="B27" s="914" t="s">
        <v>137</v>
      </c>
      <c r="C27" s="915"/>
      <c r="D27" s="915"/>
      <c r="E27" s="915"/>
      <c r="F27" s="916"/>
      <c r="G27" s="918"/>
      <c r="H27" s="918"/>
      <c r="I27" s="84"/>
      <c r="J27" s="84"/>
      <c r="K27" s="85"/>
    </row>
    <row r="28" spans="1:11" ht="15">
      <c r="A28" s="96" t="s">
        <v>212</v>
      </c>
      <c r="B28" s="88" t="s">
        <v>163</v>
      </c>
      <c r="C28" s="89" t="s">
        <v>111</v>
      </c>
      <c r="D28" s="92" t="s">
        <v>138</v>
      </c>
      <c r="E28" s="370">
        <f>'Form-Sb'!H26</f>
        <v>0</v>
      </c>
      <c r="F28" s="658">
        <f>'Form-Sb'!I26</f>
        <v>0</v>
      </c>
      <c r="H28" s="82"/>
      <c r="I28" s="82"/>
      <c r="J28" s="82"/>
      <c r="K28" s="55"/>
    </row>
    <row r="29" spans="1:11" ht="14.25">
      <c r="A29" s="96" t="s">
        <v>213</v>
      </c>
      <c r="B29" s="88" t="s">
        <v>164</v>
      </c>
      <c r="C29" s="89" t="s">
        <v>111</v>
      </c>
      <c r="D29" s="92" t="s">
        <v>138</v>
      </c>
      <c r="E29" s="370">
        <f>'Form-Sb'!H27</f>
        <v>0</v>
      </c>
      <c r="F29" s="658">
        <f>'Form-Sb'!I27</f>
        <v>0</v>
      </c>
      <c r="H29" s="82"/>
      <c r="I29" s="82"/>
      <c r="J29" s="82"/>
      <c r="K29" s="55"/>
    </row>
    <row r="30" spans="1:11" ht="14.25">
      <c r="A30" s="96" t="s">
        <v>214</v>
      </c>
      <c r="B30" s="88" t="s">
        <v>165</v>
      </c>
      <c r="C30" s="89" t="s">
        <v>111</v>
      </c>
      <c r="D30" s="92" t="s">
        <v>138</v>
      </c>
      <c r="E30" s="370">
        <f>'Form-Sb'!H28</f>
        <v>0</v>
      </c>
      <c r="F30" s="658">
        <f>'Form-Sb'!I28</f>
        <v>0</v>
      </c>
      <c r="H30" s="82"/>
      <c r="I30" s="82"/>
      <c r="J30" s="82"/>
      <c r="K30" s="55"/>
    </row>
    <row r="31" spans="1:11" s="86" customFormat="1" ht="14.25">
      <c r="A31" s="344" t="s">
        <v>36</v>
      </c>
      <c r="B31" s="914" t="s">
        <v>148</v>
      </c>
      <c r="C31" s="915"/>
      <c r="D31" s="915"/>
      <c r="E31" s="915"/>
      <c r="F31" s="916"/>
      <c r="G31" s="84"/>
      <c r="H31" s="84"/>
      <c r="I31" s="84"/>
      <c r="J31" s="84"/>
      <c r="K31" s="85"/>
    </row>
    <row r="32" spans="1:11" s="86" customFormat="1" ht="14.25">
      <c r="A32" s="97" t="s">
        <v>215</v>
      </c>
      <c r="B32" s="341" t="s">
        <v>149</v>
      </c>
      <c r="C32" s="81"/>
      <c r="D32" s="342" t="s">
        <v>272</v>
      </c>
      <c r="E32" s="343">
        <f>'Form-Sb'!H484</f>
        <v>0</v>
      </c>
      <c r="F32" s="659">
        <f>'Form-Sb'!I484</f>
        <v>0</v>
      </c>
      <c r="G32" s="84"/>
      <c r="H32" s="84"/>
      <c r="I32" s="84"/>
      <c r="J32" s="84"/>
      <c r="K32" s="85"/>
    </row>
    <row r="33" spans="1:11" s="86" customFormat="1" ht="28.5">
      <c r="A33" s="97" t="s">
        <v>216</v>
      </c>
      <c r="B33" s="341" t="s">
        <v>150</v>
      </c>
      <c r="C33" s="81"/>
      <c r="D33" s="342" t="s">
        <v>151</v>
      </c>
      <c r="E33" s="343">
        <f>'Form-Sb'!H485</f>
        <v>0</v>
      </c>
      <c r="F33" s="659">
        <f>'Form-Sb'!I485</f>
        <v>0</v>
      </c>
      <c r="G33" s="84"/>
      <c r="H33" s="84"/>
      <c r="I33" s="84"/>
      <c r="J33" s="84"/>
      <c r="K33" s="85"/>
    </row>
    <row r="34" spans="1:11" s="86" customFormat="1" ht="28.5">
      <c r="A34" s="97" t="s">
        <v>217</v>
      </c>
      <c r="B34" s="341" t="s">
        <v>152</v>
      </c>
      <c r="C34" s="81"/>
      <c r="D34" s="342" t="s">
        <v>153</v>
      </c>
      <c r="E34" s="343">
        <f>'Form-Sb'!H486</f>
        <v>0</v>
      </c>
      <c r="F34" s="659">
        <f>'Form-Sb'!I486</f>
        <v>0</v>
      </c>
      <c r="G34" s="84"/>
      <c r="H34" s="84"/>
      <c r="I34" s="84"/>
      <c r="J34" s="84"/>
      <c r="K34" s="85"/>
    </row>
    <row r="35" spans="1:11" s="86" customFormat="1" ht="14.25">
      <c r="A35" s="344" t="s">
        <v>38</v>
      </c>
      <c r="B35" s="914" t="s">
        <v>226</v>
      </c>
      <c r="C35" s="915"/>
      <c r="D35" s="915"/>
      <c r="E35" s="915"/>
      <c r="F35" s="916"/>
      <c r="G35" s="84"/>
      <c r="H35" s="84"/>
      <c r="I35" s="84"/>
      <c r="J35" s="84"/>
      <c r="K35" s="85"/>
    </row>
    <row r="36" spans="1:11" s="86" customFormat="1" ht="14.25">
      <c r="A36" s="83" t="s">
        <v>218</v>
      </c>
      <c r="B36" s="917" t="s">
        <v>169</v>
      </c>
      <c r="C36" s="918"/>
      <c r="D36" s="918"/>
      <c r="E36" s="918"/>
      <c r="F36" s="919"/>
      <c r="G36" s="84"/>
      <c r="H36" s="84"/>
      <c r="I36" s="84"/>
      <c r="J36" s="84"/>
      <c r="K36" s="85"/>
    </row>
    <row r="37" spans="1:11" ht="27" customHeight="1">
      <c r="A37" s="96" t="s">
        <v>43</v>
      </c>
      <c r="B37" s="98" t="str">
        <f>'Form-Sb'!B111</f>
        <v>Total Electricity  Purchased from grid/ Other with out colony/construction  power etc</v>
      </c>
      <c r="C37" s="99" t="s">
        <v>111</v>
      </c>
      <c r="D37" s="100" t="s">
        <v>100</v>
      </c>
      <c r="E37" s="109">
        <f>'Form-Sb'!H111</f>
        <v>0</v>
      </c>
      <c r="F37" s="110">
        <f>'Form-Sb'!I111</f>
        <v>0</v>
      </c>
      <c r="H37" s="82"/>
      <c r="I37" s="82"/>
      <c r="J37" s="82"/>
      <c r="K37" s="55"/>
    </row>
    <row r="38" spans="1:11" ht="14.25">
      <c r="A38" s="96" t="s">
        <v>44</v>
      </c>
      <c r="B38" s="98" t="str">
        <f>'Form-Sb'!B95</f>
        <v>Purchased Electricity from grid (SEB)</v>
      </c>
      <c r="C38" s="99" t="s">
        <v>111</v>
      </c>
      <c r="D38" s="92" t="s">
        <v>100</v>
      </c>
      <c r="E38" s="109">
        <f>'Form-Sb'!H95</f>
        <v>0</v>
      </c>
      <c r="F38" s="110">
        <f>'Form-Sb'!I95</f>
        <v>0</v>
      </c>
      <c r="H38" s="82"/>
      <c r="I38" s="82"/>
      <c r="J38" s="82"/>
      <c r="K38" s="55"/>
    </row>
    <row r="39" spans="1:11" ht="14.25">
      <c r="A39" s="96" t="s">
        <v>45</v>
      </c>
      <c r="B39" s="98" t="str">
        <f>'Form-Sb'!B96</f>
        <v>Renewable Electricity (Through Wheeling)</v>
      </c>
      <c r="C39" s="99" t="s">
        <v>111</v>
      </c>
      <c r="D39" s="92" t="s">
        <v>100</v>
      </c>
      <c r="E39" s="109">
        <f>'Form-Sb'!H96</f>
        <v>0</v>
      </c>
      <c r="F39" s="110">
        <f>'Form-Sb'!I96</f>
        <v>0</v>
      </c>
      <c r="H39" s="82"/>
      <c r="I39" s="82"/>
      <c r="J39" s="82"/>
      <c r="K39" s="55"/>
    </row>
    <row r="40" spans="1:11" ht="28.5">
      <c r="A40" s="96" t="s">
        <v>46</v>
      </c>
      <c r="B40" s="98" t="str">
        <f>'Form-Sb'!B97</f>
        <v>Electricity from CPP located outside from plant boundary (Through Wheeling)</v>
      </c>
      <c r="C40" s="99" t="s">
        <v>111</v>
      </c>
      <c r="D40" s="92" t="s">
        <v>100</v>
      </c>
      <c r="E40" s="109">
        <f>'Form-Sb'!H97</f>
        <v>0</v>
      </c>
      <c r="F40" s="110">
        <f>'Form-Sb'!I97</f>
        <v>0</v>
      </c>
      <c r="H40" s="82"/>
      <c r="I40" s="82"/>
      <c r="J40" s="82"/>
      <c r="K40" s="55"/>
    </row>
    <row r="41" spans="1:11" ht="14.25">
      <c r="A41" s="96" t="s">
        <v>47</v>
      </c>
      <c r="B41" s="98" t="str">
        <f>'Form-Sb'!B104</f>
        <v>Plant Connected Load </v>
      </c>
      <c r="C41" s="99" t="s">
        <v>111</v>
      </c>
      <c r="D41" s="92" t="s">
        <v>24</v>
      </c>
      <c r="E41" s="109">
        <f>'Form-Sb'!H104</f>
        <v>0</v>
      </c>
      <c r="F41" s="110">
        <f>'Form-Sb'!I104</f>
        <v>0</v>
      </c>
      <c r="H41" s="82"/>
      <c r="I41" s="82"/>
      <c r="J41" s="82"/>
      <c r="K41" s="55"/>
    </row>
    <row r="42" spans="1:11" ht="14.25">
      <c r="A42" s="96" t="s">
        <v>48</v>
      </c>
      <c r="B42" s="98" t="str">
        <f>'Form-Sb'!B105</f>
        <v>Contract Demand with utility</v>
      </c>
      <c r="C42" s="101"/>
      <c r="D42" s="92" t="s">
        <v>34</v>
      </c>
      <c r="E42" s="109">
        <f>'Form-Sb'!H105</f>
        <v>0</v>
      </c>
      <c r="F42" s="110">
        <f>'Form-Sb'!I105</f>
        <v>0</v>
      </c>
      <c r="H42" s="82"/>
      <c r="I42" s="82"/>
      <c r="J42" s="82"/>
      <c r="K42" s="55"/>
    </row>
    <row r="43" spans="1:11" ht="14.25">
      <c r="A43" s="96"/>
      <c r="B43" s="94"/>
      <c r="C43" s="36"/>
      <c r="D43" s="92"/>
      <c r="E43" s="100"/>
      <c r="F43" s="102"/>
      <c r="H43" s="82"/>
      <c r="I43" s="82"/>
      <c r="J43" s="82"/>
      <c r="K43" s="55"/>
    </row>
    <row r="44" spans="1:11" s="86" customFormat="1" ht="14.25">
      <c r="A44" s="83" t="s">
        <v>55</v>
      </c>
      <c r="B44" s="917" t="s">
        <v>61</v>
      </c>
      <c r="C44" s="918"/>
      <c r="D44" s="918"/>
      <c r="E44" s="918"/>
      <c r="F44" s="919"/>
      <c r="G44" s="84"/>
      <c r="H44" s="84"/>
      <c r="I44" s="84"/>
      <c r="J44" s="84"/>
      <c r="K44" s="85"/>
    </row>
    <row r="45" spans="1:11" s="86" customFormat="1" ht="14.25">
      <c r="A45" s="103" t="s">
        <v>219</v>
      </c>
      <c r="B45" s="104" t="s">
        <v>8</v>
      </c>
      <c r="C45" s="105"/>
      <c r="D45" s="106"/>
      <c r="E45" s="106"/>
      <c r="F45" s="107"/>
      <c r="G45" s="84"/>
      <c r="H45" s="84"/>
      <c r="I45" s="84"/>
      <c r="J45" s="84"/>
      <c r="K45" s="85"/>
    </row>
    <row r="46" spans="1:11" s="86" customFormat="1" ht="14.25">
      <c r="A46" s="96" t="s">
        <v>43</v>
      </c>
      <c r="B46" s="98" t="str">
        <f>'Form-Sb'!B117</f>
        <v>Installed Capacity</v>
      </c>
      <c r="C46" s="105"/>
      <c r="D46" s="100" t="s">
        <v>100</v>
      </c>
      <c r="E46" s="106">
        <f>'Form-Sb'!H117</f>
        <v>0</v>
      </c>
      <c r="F46" s="108">
        <f>'Form-Sb'!I117</f>
        <v>0</v>
      </c>
      <c r="G46" s="84"/>
      <c r="H46" s="84"/>
      <c r="I46" s="84"/>
      <c r="J46" s="84"/>
      <c r="K46" s="85"/>
    </row>
    <row r="47" spans="1:11" ht="33.75" customHeight="1">
      <c r="A47" s="96" t="s">
        <v>44</v>
      </c>
      <c r="B47" s="98" t="s">
        <v>268</v>
      </c>
      <c r="C47" s="99" t="s">
        <v>185</v>
      </c>
      <c r="D47" s="100" t="s">
        <v>100</v>
      </c>
      <c r="E47" s="106">
        <f>'Form-Sb'!H118</f>
        <v>0</v>
      </c>
      <c r="F47" s="108">
        <f>'Form-Sb'!I118</f>
        <v>0</v>
      </c>
      <c r="H47" s="82"/>
      <c r="I47" s="82"/>
      <c r="J47" s="82"/>
      <c r="K47" s="55"/>
    </row>
    <row r="48" spans="1:11" ht="14.25">
      <c r="A48" s="96" t="s">
        <v>45</v>
      </c>
      <c r="B48" s="94" t="s">
        <v>99</v>
      </c>
      <c r="C48" s="36"/>
      <c r="D48" s="92" t="s">
        <v>242</v>
      </c>
      <c r="E48" s="109">
        <f>'Form-Sb'!H479</f>
        <v>0</v>
      </c>
      <c r="F48" s="110">
        <f>'Form-Sb'!I479</f>
        <v>0</v>
      </c>
      <c r="H48" s="82"/>
      <c r="I48" s="82"/>
      <c r="J48" s="82"/>
      <c r="K48" s="55"/>
    </row>
    <row r="49" spans="1:11" s="86" customFormat="1" ht="14.25">
      <c r="A49" s="111" t="s">
        <v>220</v>
      </c>
      <c r="B49" s="908" t="s">
        <v>57</v>
      </c>
      <c r="C49" s="908"/>
      <c r="D49" s="909"/>
      <c r="E49" s="909"/>
      <c r="F49" s="910"/>
      <c r="G49" s="84"/>
      <c r="H49" s="84"/>
      <c r="I49" s="84"/>
      <c r="J49" s="84"/>
      <c r="K49" s="85"/>
    </row>
    <row r="50" spans="1:7" s="81" customFormat="1" ht="14.25">
      <c r="A50" s="96" t="s">
        <v>43</v>
      </c>
      <c r="B50" s="99" t="str">
        <f>'Form-Sb'!B205</f>
        <v>Installed Capacity</v>
      </c>
      <c r="C50" s="655"/>
      <c r="D50" s="100" t="s">
        <v>59</v>
      </c>
      <c r="E50" s="112">
        <f>'Form-Sb'!H205</f>
        <v>0</v>
      </c>
      <c r="F50" s="660">
        <f>'Form-Sb'!I205</f>
        <v>0</v>
      </c>
      <c r="G50" s="80"/>
    </row>
    <row r="51" spans="1:11" ht="14.25">
      <c r="A51" s="113" t="s">
        <v>44</v>
      </c>
      <c r="B51" s="114" t="s">
        <v>269</v>
      </c>
      <c r="C51" s="115"/>
      <c r="D51" s="116" t="s">
        <v>100</v>
      </c>
      <c r="E51" s="112">
        <f>'Form-Sb'!H206</f>
        <v>0</v>
      </c>
      <c r="F51" s="660">
        <f>'Form-Sb'!I206</f>
        <v>0</v>
      </c>
      <c r="H51" s="82"/>
      <c r="I51" s="82"/>
      <c r="J51" s="82"/>
      <c r="K51" s="55"/>
    </row>
    <row r="52" spans="1:11" ht="14.25">
      <c r="A52" s="96" t="s">
        <v>45</v>
      </c>
      <c r="B52" s="762" t="s">
        <v>20</v>
      </c>
      <c r="C52" s="441"/>
      <c r="D52" s="92" t="s">
        <v>261</v>
      </c>
      <c r="E52" s="763">
        <f>'Form-Sb'!H480</f>
        <v>0</v>
      </c>
      <c r="F52" s="764">
        <f>'Form-Sb'!I480</f>
        <v>0</v>
      </c>
      <c r="H52" s="82"/>
      <c r="I52" s="82"/>
      <c r="J52" s="82"/>
      <c r="K52" s="55"/>
    </row>
    <row r="53" spans="1:11" ht="14.25">
      <c r="A53" s="96" t="s">
        <v>46</v>
      </c>
      <c r="B53" s="117" t="s">
        <v>21</v>
      </c>
      <c r="C53" s="101"/>
      <c r="D53" s="92" t="s">
        <v>3</v>
      </c>
      <c r="E53" s="112">
        <f>'Form-Sb'!H207</f>
        <v>0</v>
      </c>
      <c r="F53" s="660">
        <f>'Form-Sb'!I207</f>
        <v>0</v>
      </c>
      <c r="H53" s="82"/>
      <c r="I53" s="82"/>
      <c r="J53" s="82"/>
      <c r="K53" s="55"/>
    </row>
    <row r="54" spans="1:11" ht="14.25">
      <c r="A54" s="96" t="s">
        <v>47</v>
      </c>
      <c r="B54" s="117" t="str">
        <f>'Form-Sb'!B208</f>
        <v>Design Gross Heat Rate </v>
      </c>
      <c r="C54" s="101"/>
      <c r="D54" s="92" t="s">
        <v>242</v>
      </c>
      <c r="E54" s="112">
        <f>'Form-Sb'!H208</f>
        <v>0</v>
      </c>
      <c r="F54" s="660">
        <f>'Form-Sb'!I208</f>
        <v>0</v>
      </c>
      <c r="H54" s="82"/>
      <c r="I54" s="82"/>
      <c r="J54" s="82"/>
      <c r="K54" s="55"/>
    </row>
    <row r="55" spans="1:11" ht="14.25">
      <c r="A55" s="96" t="s">
        <v>48</v>
      </c>
      <c r="B55" s="117" t="s">
        <v>237</v>
      </c>
      <c r="C55" s="101"/>
      <c r="D55" s="92" t="s">
        <v>3</v>
      </c>
      <c r="E55" s="118">
        <f>'Form-Sb'!H215</f>
        <v>0</v>
      </c>
      <c r="F55" s="661">
        <f>'Form-Sb'!I215</f>
        <v>0</v>
      </c>
      <c r="H55" s="82"/>
      <c r="I55" s="82"/>
      <c r="J55" s="82"/>
      <c r="K55" s="55"/>
    </row>
    <row r="56" spans="1:11" s="86" customFormat="1" ht="14.25">
      <c r="A56" s="83" t="s">
        <v>116</v>
      </c>
      <c r="B56" s="119" t="s">
        <v>1224</v>
      </c>
      <c r="C56" s="120"/>
      <c r="D56" s="121" t="s">
        <v>242</v>
      </c>
      <c r="E56" s="124">
        <f>'Form-Sb'!H482</f>
        <v>0</v>
      </c>
      <c r="F56" s="124">
        <f>'Form-Sb'!I482</f>
        <v>0</v>
      </c>
      <c r="G56" s="84"/>
      <c r="H56" s="84"/>
      <c r="I56" s="84"/>
      <c r="J56" s="84"/>
      <c r="K56" s="85"/>
    </row>
    <row r="57" spans="1:11" s="86" customFormat="1" ht="14.25">
      <c r="A57" s="83" t="s">
        <v>221</v>
      </c>
      <c r="B57" s="119" t="s">
        <v>67</v>
      </c>
      <c r="C57" s="120"/>
      <c r="D57" s="121" t="s">
        <v>100</v>
      </c>
      <c r="E57" s="123">
        <f>'Form-Sb'!H237</f>
        <v>0</v>
      </c>
      <c r="F57" s="663">
        <f>'Form-Sb'!I237</f>
        <v>0</v>
      </c>
      <c r="G57" s="84"/>
      <c r="H57" s="84"/>
      <c r="I57" s="84"/>
      <c r="J57" s="84"/>
      <c r="K57" s="85"/>
    </row>
    <row r="58" spans="1:11" s="86" customFormat="1" ht="14.25">
      <c r="A58" s="83" t="s">
        <v>222</v>
      </c>
      <c r="B58" s="119" t="s">
        <v>68</v>
      </c>
      <c r="C58" s="120"/>
      <c r="D58" s="121" t="s">
        <v>100</v>
      </c>
      <c r="E58" s="122">
        <f>'Form-Sb'!H240</f>
        <v>0</v>
      </c>
      <c r="F58" s="664">
        <f>'Form-Sb'!I240</f>
        <v>0</v>
      </c>
      <c r="G58" s="84"/>
      <c r="H58" s="84"/>
      <c r="I58" s="84"/>
      <c r="J58" s="84"/>
      <c r="K58" s="85"/>
    </row>
    <row r="59" spans="1:11" s="86" customFormat="1" ht="27.75" customHeight="1">
      <c r="A59" s="83" t="s">
        <v>223</v>
      </c>
      <c r="B59" s="119" t="s">
        <v>182</v>
      </c>
      <c r="C59" s="120"/>
      <c r="D59" s="121" t="s">
        <v>234</v>
      </c>
      <c r="E59" s="121">
        <f>E58*2717/10</f>
        <v>0</v>
      </c>
      <c r="F59" s="665">
        <f>F58*2717/10</f>
        <v>0</v>
      </c>
      <c r="G59" s="84"/>
      <c r="H59" s="84"/>
      <c r="I59" s="84"/>
      <c r="J59" s="84"/>
      <c r="K59" s="85"/>
    </row>
    <row r="60" spans="1:11" s="86" customFormat="1" ht="14.25">
      <c r="A60" s="83" t="s">
        <v>262</v>
      </c>
      <c r="B60" s="119" t="s">
        <v>170</v>
      </c>
      <c r="C60" s="120"/>
      <c r="D60" s="121" t="s">
        <v>100</v>
      </c>
      <c r="E60" s="124">
        <f>E57+E37-E58</f>
        <v>0</v>
      </c>
      <c r="F60" s="662">
        <f>F57+F37-F58</f>
        <v>0</v>
      </c>
      <c r="G60" s="84"/>
      <c r="H60" s="84"/>
      <c r="I60" s="84"/>
      <c r="J60" s="84"/>
      <c r="K60" s="85"/>
    </row>
    <row r="61" spans="1:11" s="86" customFormat="1" ht="15">
      <c r="A61" s="83" t="s">
        <v>40</v>
      </c>
      <c r="B61" s="911" t="s">
        <v>201</v>
      </c>
      <c r="C61" s="912"/>
      <c r="D61" s="912"/>
      <c r="E61" s="912"/>
      <c r="F61" s="913"/>
      <c r="G61" s="84"/>
      <c r="H61" s="84"/>
      <c r="I61" s="84"/>
      <c r="J61" s="84"/>
      <c r="K61" s="85"/>
    </row>
    <row r="62" spans="1:11" s="86" customFormat="1" ht="14.25">
      <c r="A62" s="83" t="s">
        <v>41</v>
      </c>
      <c r="B62" s="125" t="s">
        <v>203</v>
      </c>
      <c r="C62" s="126" t="s">
        <v>205</v>
      </c>
      <c r="D62" s="127" t="s">
        <v>273</v>
      </c>
      <c r="E62" s="128">
        <f>'Form-Sb'!H272</f>
        <v>0</v>
      </c>
      <c r="F62" s="666">
        <f>'Form-Sb'!I272</f>
        <v>0</v>
      </c>
      <c r="G62" s="84"/>
      <c r="H62" s="84"/>
      <c r="I62" s="84"/>
      <c r="J62" s="84"/>
      <c r="K62" s="85"/>
    </row>
    <row r="63" spans="1:11" s="86" customFormat="1" ht="14.25">
      <c r="A63" s="83" t="s">
        <v>56</v>
      </c>
      <c r="B63" s="125" t="s">
        <v>204</v>
      </c>
      <c r="C63" s="126" t="s">
        <v>206</v>
      </c>
      <c r="D63" s="127" t="s">
        <v>273</v>
      </c>
      <c r="E63" s="128">
        <f>'Form-Sb'!H271</f>
        <v>0</v>
      </c>
      <c r="F63" s="666">
        <f>'Form-Sb'!I271</f>
        <v>0</v>
      </c>
      <c r="G63" s="84"/>
      <c r="H63" s="84"/>
      <c r="I63" s="84"/>
      <c r="J63" s="84"/>
      <c r="K63" s="85"/>
    </row>
    <row r="64" spans="1:11" s="86" customFormat="1" ht="14.25">
      <c r="A64" s="83" t="s">
        <v>120</v>
      </c>
      <c r="B64" s="125" t="s">
        <v>258</v>
      </c>
      <c r="C64" s="126"/>
      <c r="D64" s="127" t="s">
        <v>273</v>
      </c>
      <c r="E64" s="128">
        <f>'Form-Sb'!H247</f>
        <v>0</v>
      </c>
      <c r="F64" s="666">
        <f>'Form-Sb'!I247</f>
        <v>0</v>
      </c>
      <c r="G64" s="84"/>
      <c r="H64" s="84"/>
      <c r="I64" s="84"/>
      <c r="J64" s="84"/>
      <c r="K64" s="85"/>
    </row>
    <row r="65" spans="1:11" s="86" customFormat="1" ht="14.25">
      <c r="A65" s="83" t="s">
        <v>224</v>
      </c>
      <c r="B65" s="125" t="s">
        <v>202</v>
      </c>
      <c r="C65" s="126"/>
      <c r="D65" s="127" t="s">
        <v>273</v>
      </c>
      <c r="E65" s="128">
        <f>'Form-Sb'!H259</f>
        <v>0</v>
      </c>
      <c r="F65" s="666">
        <f>'Form-Sb'!I259</f>
        <v>0</v>
      </c>
      <c r="G65" s="84"/>
      <c r="H65" s="84"/>
      <c r="I65" s="84"/>
      <c r="J65" s="84"/>
      <c r="K65" s="85"/>
    </row>
    <row r="66" spans="1:11" s="86" customFormat="1" ht="14.25">
      <c r="A66" s="83" t="s">
        <v>225</v>
      </c>
      <c r="B66" s="125" t="s">
        <v>274</v>
      </c>
      <c r="C66" s="126"/>
      <c r="D66" s="127" t="s">
        <v>273</v>
      </c>
      <c r="E66" s="128">
        <f>'Form-Sb'!H367</f>
        <v>0</v>
      </c>
      <c r="F66" s="666">
        <f>'Form-Sb'!I367</f>
        <v>0</v>
      </c>
      <c r="G66" s="84"/>
      <c r="H66" s="84"/>
      <c r="I66" s="84"/>
      <c r="J66" s="84"/>
      <c r="K66" s="85"/>
    </row>
    <row r="67" spans="1:11" s="86" customFormat="1" ht="14.25">
      <c r="A67" s="129" t="s">
        <v>276</v>
      </c>
      <c r="B67" s="130" t="s">
        <v>275</v>
      </c>
      <c r="C67" s="131"/>
      <c r="D67" s="127" t="s">
        <v>273</v>
      </c>
      <c r="E67" s="132">
        <f>'Form-Sb'!H404</f>
        <v>0</v>
      </c>
      <c r="F67" s="667">
        <f>'Form-Sb'!I404</f>
        <v>0</v>
      </c>
      <c r="G67" s="84"/>
      <c r="H67" s="84"/>
      <c r="I67" s="84"/>
      <c r="J67" s="84"/>
      <c r="K67" s="85"/>
    </row>
    <row r="68" spans="1:11" s="139" customFormat="1" ht="15" thickBot="1">
      <c r="A68" s="133" t="s">
        <v>42</v>
      </c>
      <c r="B68" s="134" t="s">
        <v>118</v>
      </c>
      <c r="C68" s="135"/>
      <c r="D68" s="135" t="s">
        <v>234</v>
      </c>
      <c r="E68" s="136">
        <f>'Form-Sb'!H476</f>
        <v>0</v>
      </c>
      <c r="F68" s="668">
        <f>'Form-Sb'!I476</f>
        <v>0</v>
      </c>
      <c r="G68" s="137"/>
      <c r="H68" s="137"/>
      <c r="I68" s="137"/>
      <c r="J68" s="137"/>
      <c r="K68" s="138"/>
    </row>
    <row r="69" spans="1:11" s="147" customFormat="1" ht="15" customHeight="1">
      <c r="A69" s="140" t="s">
        <v>239</v>
      </c>
      <c r="B69" s="141" t="s">
        <v>241</v>
      </c>
      <c r="C69" s="142"/>
      <c r="D69" s="142" t="s">
        <v>242</v>
      </c>
      <c r="E69" s="142">
        <v>2717</v>
      </c>
      <c r="F69" s="669">
        <v>2717</v>
      </c>
      <c r="G69" s="143"/>
      <c r="H69" s="144"/>
      <c r="I69" s="145"/>
      <c r="J69" s="145"/>
      <c r="K69" s="146"/>
    </row>
    <row r="70" spans="1:11" s="147" customFormat="1" ht="31.5" customHeight="1" thickBot="1">
      <c r="A70" s="148" t="s">
        <v>240</v>
      </c>
      <c r="B70" s="149" t="s">
        <v>243</v>
      </c>
      <c r="C70" s="150"/>
      <c r="D70" s="150" t="s">
        <v>242</v>
      </c>
      <c r="E70" s="150">
        <v>3208</v>
      </c>
      <c r="F70" s="670">
        <v>3208</v>
      </c>
      <c r="G70" s="151"/>
      <c r="H70" s="152"/>
      <c r="I70" s="153"/>
      <c r="J70" s="153"/>
      <c r="K70" s="154"/>
    </row>
    <row r="71" spans="1:8" s="147" customFormat="1" ht="35.25" customHeight="1">
      <c r="A71" s="155"/>
      <c r="B71" s="156"/>
      <c r="C71" s="156"/>
      <c r="D71" s="157"/>
      <c r="E71" s="156"/>
      <c r="F71" s="156"/>
      <c r="G71" s="156"/>
      <c r="H71" s="158"/>
    </row>
    <row r="72" spans="1:8" ht="14.25">
      <c r="A72" s="155"/>
      <c r="B72" s="159"/>
      <c r="C72" s="155"/>
      <c r="D72" s="160"/>
      <c r="E72" s="155"/>
      <c r="F72" s="155"/>
      <c r="G72" s="155"/>
      <c r="H72" s="161"/>
    </row>
    <row r="73" spans="1:8" ht="0" customHeight="1" hidden="1">
      <c r="A73" s="155"/>
      <c r="B73" s="159"/>
      <c r="C73" s="155"/>
      <c r="D73" s="160"/>
      <c r="E73" s="155"/>
      <c r="F73" s="906" t="s">
        <v>198</v>
      </c>
      <c r="G73" s="906"/>
      <c r="H73" s="907"/>
    </row>
    <row r="74" spans="1:8" ht="0" customHeight="1" hidden="1">
      <c r="A74" s="155"/>
      <c r="B74" s="162" t="s">
        <v>199</v>
      </c>
      <c r="C74" s="155"/>
      <c r="D74" s="160"/>
      <c r="E74" s="155"/>
      <c r="F74" s="155"/>
      <c r="G74" s="155"/>
      <c r="H74" s="161"/>
    </row>
    <row r="75" spans="1:8" ht="0" customHeight="1" hidden="1">
      <c r="A75" s="155"/>
      <c r="B75" s="162"/>
      <c r="C75" s="155"/>
      <c r="D75" s="160"/>
      <c r="E75" s="155"/>
      <c r="F75" s="155"/>
      <c r="G75" s="155"/>
      <c r="H75" s="161"/>
    </row>
    <row r="76" spans="1:8" ht="0" customHeight="1" hidden="1">
      <c r="A76" s="155"/>
      <c r="B76" s="162" t="s">
        <v>200</v>
      </c>
      <c r="C76" s="155"/>
      <c r="D76" s="160"/>
      <c r="E76" s="155"/>
      <c r="F76" s="155"/>
      <c r="G76" s="155"/>
      <c r="H76" s="161"/>
    </row>
    <row r="77" spans="1:8" ht="0" customHeight="1" hidden="1">
      <c r="A77" s="155"/>
      <c r="B77" s="159"/>
      <c r="C77" s="155"/>
      <c r="D77" s="160"/>
      <c r="E77" s="155"/>
      <c r="F77" s="906" t="s">
        <v>198</v>
      </c>
      <c r="G77" s="906"/>
      <c r="H77" s="907"/>
    </row>
    <row r="78" spans="1:8" ht="0" customHeight="1" hidden="1">
      <c r="A78" s="155"/>
      <c r="B78" s="162" t="s">
        <v>199</v>
      </c>
      <c r="C78" s="155"/>
      <c r="D78" s="160"/>
      <c r="E78" s="155"/>
      <c r="F78" s="155"/>
      <c r="G78" s="155"/>
      <c r="H78" s="161"/>
    </row>
    <row r="79" spans="1:8" ht="0" customHeight="1" hidden="1">
      <c r="A79" s="155"/>
      <c r="B79" s="162"/>
      <c r="C79" s="155"/>
      <c r="D79" s="160"/>
      <c r="E79" s="155"/>
      <c r="F79" s="155"/>
      <c r="G79" s="155"/>
      <c r="H79" s="161"/>
    </row>
    <row r="80" spans="1:8" ht="0" customHeight="1" hidden="1">
      <c r="A80" s="155"/>
      <c r="B80" s="162" t="s">
        <v>200</v>
      </c>
      <c r="C80" s="155"/>
      <c r="D80" s="160"/>
      <c r="E80" s="155"/>
      <c r="F80" s="155"/>
      <c r="G80" s="155"/>
      <c r="H80" s="161"/>
    </row>
  </sheetData>
  <sheetProtection password="FABB" sheet="1"/>
  <mergeCells count="17">
    <mergeCell ref="G22:K22"/>
    <mergeCell ref="B31:F31"/>
    <mergeCell ref="A2:F2"/>
    <mergeCell ref="A3:F3"/>
    <mergeCell ref="A4:B4"/>
    <mergeCell ref="C4:F4"/>
    <mergeCell ref="B6:F6"/>
    <mergeCell ref="B22:F22"/>
    <mergeCell ref="B27:F27"/>
    <mergeCell ref="G27:H27"/>
    <mergeCell ref="F77:H77"/>
    <mergeCell ref="F73:H73"/>
    <mergeCell ref="B49:F49"/>
    <mergeCell ref="B61:F61"/>
    <mergeCell ref="B35:F35"/>
    <mergeCell ref="B36:F36"/>
    <mergeCell ref="B44:F44"/>
  </mergeCells>
  <conditionalFormatting sqref="E45:F48 L22 E62:F67 E7:F21 E23:F26 E28:F30 E32:F34 E37:F43 E56:F60">
    <cfRule type="cellIs" priority="3" dxfId="3" operator="equal" stopIfTrue="1">
      <formula>"NA"</formula>
    </cfRule>
    <cfRule type="cellIs" priority="4" dxfId="2" operator="equal" stopIfTrue="1">
      <formula>"NA"</formula>
    </cfRule>
  </conditionalFormatting>
  <printOptions horizontalCentered="1" verticalCentered="1"/>
  <pageMargins left="0.11811023622047245" right="0" top="0.11811023622047245" bottom="0" header="0.31496062992125984" footer="0.11811023622047245"/>
  <pageSetup fitToHeight="1" fitToWidth="1" horizontalDpi="600" verticalDpi="600" orientation="portrait" paperSize="9" scale="61" r:id="rId3"/>
  <headerFooter alignWithMargins="0">
    <oddFooter>&amp;C&amp;P&amp;RNote: Not to be quoted and not to be published without prior permission</oddFooter>
  </headerFooter>
  <legacyDrawing r:id="rId2"/>
</worksheet>
</file>

<file path=xl/worksheets/sheet6.xml><?xml version="1.0" encoding="utf-8"?>
<worksheet xmlns="http://schemas.openxmlformats.org/spreadsheetml/2006/main" xmlns:r="http://schemas.openxmlformats.org/officeDocument/2006/relationships">
  <dimension ref="A1:IV135"/>
  <sheetViews>
    <sheetView showGridLines="0" zoomScale="86" zoomScaleNormal="86" zoomScalePageLayoutView="0" workbookViewId="0" topLeftCell="A61">
      <selection activeCell="E61" sqref="E61:E62"/>
    </sheetView>
  </sheetViews>
  <sheetFormatPr defaultColWidth="0.5625" defaultRowHeight="15" zeroHeight="1"/>
  <cols>
    <col min="1" max="1" width="5.8515625" style="74" customWidth="1"/>
    <col min="2" max="2" width="43.8515625" style="34" customWidth="1"/>
    <col min="3" max="3" width="65.8515625" style="34" customWidth="1"/>
    <col min="4" max="4" width="18.00390625" style="74" bestFit="1" customWidth="1"/>
    <col min="5" max="5" width="18.421875" style="34" customWidth="1"/>
    <col min="6" max="6" width="17.28125" style="34" customWidth="1"/>
    <col min="7" max="255" width="0" style="34" hidden="1" customWidth="1"/>
    <col min="256" max="16384" width="0.5625" style="34" customWidth="1"/>
  </cols>
  <sheetData>
    <row r="1" spans="1:6" ht="29.25" thickBot="1">
      <c r="A1" s="936" t="s">
        <v>1262</v>
      </c>
      <c r="B1" s="937"/>
      <c r="C1" s="937"/>
      <c r="D1" s="937"/>
      <c r="E1" s="937"/>
      <c r="F1" s="938"/>
    </row>
    <row r="2" spans="1:6" s="166" customFormat="1" ht="27.75" customHeight="1" thickBot="1">
      <c r="A2" s="931" t="str">
        <f>'Base line Parameters'!A3</f>
        <v>Sector :-  Cement Sector</v>
      </c>
      <c r="B2" s="932"/>
      <c r="C2" s="932"/>
      <c r="D2" s="932"/>
      <c r="E2" s="932"/>
      <c r="F2" s="933"/>
    </row>
    <row r="3" spans="1:7" s="171" customFormat="1" ht="27.75" customHeight="1">
      <c r="A3" s="934" t="str">
        <f>'Base line Parameters'!A4</f>
        <v>Name of the Unit</v>
      </c>
      <c r="B3" s="935"/>
      <c r="C3" s="167" t="str">
        <f>'Base line Parameters'!C4</f>
        <v>  </v>
      </c>
      <c r="D3" s="168"/>
      <c r="E3" s="168"/>
      <c r="F3" s="169"/>
      <c r="G3" s="170"/>
    </row>
    <row r="4" spans="1:6" s="773" customFormat="1" ht="27.75" customHeight="1">
      <c r="A4" s="939" t="s">
        <v>1285</v>
      </c>
      <c r="B4" s="940"/>
      <c r="C4" s="772" t="str">
        <f>'General Information'!F6</f>
        <v>PPC</v>
      </c>
      <c r="D4" s="771"/>
      <c r="E4" s="771"/>
      <c r="F4" s="800"/>
    </row>
    <row r="5" spans="1:6" ht="47.25" customHeight="1">
      <c r="A5" s="765" t="s">
        <v>372</v>
      </c>
      <c r="B5" s="766" t="s">
        <v>1</v>
      </c>
      <c r="C5" s="767" t="s">
        <v>123</v>
      </c>
      <c r="D5" s="768" t="s">
        <v>2</v>
      </c>
      <c r="E5" s="769" t="str">
        <f>'Base line Parameters'!E5</f>
        <v>Baseline Year (Average of year1 to Year 3)</v>
      </c>
      <c r="F5" s="769" t="str">
        <f>'Base line Parameters'!F5</f>
        <v>Current/Assessment /Target Year    (20__-20__)</v>
      </c>
    </row>
    <row r="6" spans="1:6" ht="14.25" customHeight="1">
      <c r="A6" s="172">
        <v>1</v>
      </c>
      <c r="B6" s="173" t="s">
        <v>122</v>
      </c>
      <c r="C6" s="174"/>
      <c r="D6" s="175"/>
      <c r="E6" s="176"/>
      <c r="F6" s="177"/>
    </row>
    <row r="7" spans="1:6" ht="14.25" customHeight="1">
      <c r="A7" s="178" t="s">
        <v>124</v>
      </c>
      <c r="B7" s="179" t="s">
        <v>80</v>
      </c>
      <c r="C7" s="180" t="s">
        <v>125</v>
      </c>
      <c r="D7" s="181" t="s">
        <v>270</v>
      </c>
      <c r="E7" s="182">
        <f>'Base line Parameters'!E9/10^5</f>
        <v>0</v>
      </c>
      <c r="F7" s="183">
        <f>'Base line Parameters'!F9/10^5</f>
        <v>0</v>
      </c>
    </row>
    <row r="8" spans="1:6" ht="14.25" customHeight="1">
      <c r="A8" s="178" t="s">
        <v>126</v>
      </c>
      <c r="B8" s="179" t="s">
        <v>180</v>
      </c>
      <c r="C8" s="180" t="s">
        <v>125</v>
      </c>
      <c r="D8" s="181" t="s">
        <v>270</v>
      </c>
      <c r="E8" s="182">
        <f>'Base line Parameters'!E10/10^5</f>
        <v>0</v>
      </c>
      <c r="F8" s="183">
        <f>'Base line Parameters'!F10/10^5</f>
        <v>0</v>
      </c>
    </row>
    <row r="9" spans="1:6" ht="14.25" customHeight="1">
      <c r="A9" s="178" t="s">
        <v>139</v>
      </c>
      <c r="B9" s="179" t="s">
        <v>190</v>
      </c>
      <c r="C9" s="180" t="s">
        <v>111</v>
      </c>
      <c r="D9" s="181" t="s">
        <v>76</v>
      </c>
      <c r="E9" s="182">
        <f>'Base line Parameters'!E11</f>
        <v>0</v>
      </c>
      <c r="F9" s="183">
        <f>'Base line Parameters'!F11</f>
        <v>0</v>
      </c>
    </row>
    <row r="10" spans="1:6" ht="14.25" customHeight="1">
      <c r="A10" s="178" t="s">
        <v>127</v>
      </c>
      <c r="B10" s="179" t="s">
        <v>191</v>
      </c>
      <c r="C10" s="180" t="s">
        <v>111</v>
      </c>
      <c r="D10" s="181" t="s">
        <v>76</v>
      </c>
      <c r="E10" s="182">
        <f>'Base line Parameters'!E12</f>
        <v>0</v>
      </c>
      <c r="F10" s="183">
        <f>'Base line Parameters'!F12</f>
        <v>0</v>
      </c>
    </row>
    <row r="11" spans="1:6" s="184" customFormat="1" ht="14.25" customHeight="1">
      <c r="A11" s="178" t="s">
        <v>129</v>
      </c>
      <c r="B11" s="179" t="s">
        <v>192</v>
      </c>
      <c r="C11" s="180" t="s">
        <v>111</v>
      </c>
      <c r="D11" s="181" t="s">
        <v>76</v>
      </c>
      <c r="E11" s="182">
        <f>'Base line Parameters'!E13</f>
        <v>0</v>
      </c>
      <c r="F11" s="183">
        <f>'Base line Parameters'!F13</f>
        <v>0</v>
      </c>
    </row>
    <row r="12" spans="1:6" ht="14.25" customHeight="1">
      <c r="A12" s="178" t="s">
        <v>131</v>
      </c>
      <c r="B12" s="179" t="s">
        <v>193</v>
      </c>
      <c r="C12" s="180" t="s">
        <v>111</v>
      </c>
      <c r="D12" s="181" t="s">
        <v>76</v>
      </c>
      <c r="E12" s="182">
        <f>'Base line Parameters'!E14</f>
        <v>0</v>
      </c>
      <c r="F12" s="183">
        <f>'Base line Parameters'!F14</f>
        <v>0</v>
      </c>
    </row>
    <row r="13" spans="1:6" s="184" customFormat="1" ht="14.25" customHeight="1">
      <c r="A13" s="178" t="s">
        <v>133</v>
      </c>
      <c r="B13" s="179" t="s">
        <v>176</v>
      </c>
      <c r="C13" s="180" t="s">
        <v>177</v>
      </c>
      <c r="D13" s="181" t="s">
        <v>3</v>
      </c>
      <c r="E13" s="182">
        <f>'Base line Parameters'!E15</f>
        <v>0</v>
      </c>
      <c r="F13" s="183">
        <f>'Base line Parameters'!F15</f>
        <v>0</v>
      </c>
    </row>
    <row r="14" spans="1:6" ht="14.25" customHeight="1">
      <c r="A14" s="178" t="s">
        <v>135</v>
      </c>
      <c r="B14" s="179" t="s">
        <v>176</v>
      </c>
      <c r="C14" s="180" t="s">
        <v>178</v>
      </c>
      <c r="D14" s="181" t="s">
        <v>3</v>
      </c>
      <c r="E14" s="182">
        <f>'Base line Parameters'!E16</f>
        <v>0</v>
      </c>
      <c r="F14" s="183">
        <f>'Base line Parameters'!F16</f>
        <v>0</v>
      </c>
    </row>
    <row r="15" spans="1:6" ht="14.25" customHeight="1">
      <c r="A15" s="178" t="s">
        <v>179</v>
      </c>
      <c r="B15" s="179" t="s">
        <v>128</v>
      </c>
      <c r="C15" s="180" t="s">
        <v>125</v>
      </c>
      <c r="D15" s="181" t="s">
        <v>270</v>
      </c>
      <c r="E15" s="182">
        <f>'Base line Parameters'!E17/10^5</f>
        <v>0</v>
      </c>
      <c r="F15" s="183">
        <f>'Base line Parameters'!F17/10^5</f>
        <v>0</v>
      </c>
    </row>
    <row r="16" spans="1:6" ht="15.75" customHeight="1">
      <c r="A16" s="185" t="s">
        <v>194</v>
      </c>
      <c r="B16" s="179" t="s">
        <v>130</v>
      </c>
      <c r="C16" s="180" t="s">
        <v>125</v>
      </c>
      <c r="D16" s="181" t="s">
        <v>270</v>
      </c>
      <c r="E16" s="182">
        <f>'Base line Parameters'!E18/10^5</f>
        <v>0</v>
      </c>
      <c r="F16" s="183">
        <f>'Base line Parameters'!F18/10^5</f>
        <v>0</v>
      </c>
    </row>
    <row r="17" spans="1:6" ht="14.25" customHeight="1">
      <c r="A17" s="185" t="s">
        <v>195</v>
      </c>
      <c r="B17" s="179" t="s">
        <v>132</v>
      </c>
      <c r="C17" s="180" t="s">
        <v>125</v>
      </c>
      <c r="D17" s="181" t="s">
        <v>270</v>
      </c>
      <c r="E17" s="182">
        <f>'Base line Parameters'!E19/10^5</f>
        <v>0</v>
      </c>
      <c r="F17" s="183">
        <f>'Base line Parameters'!F19/10^5</f>
        <v>0</v>
      </c>
    </row>
    <row r="18" spans="1:6" ht="14.25" customHeight="1">
      <c r="A18" s="185" t="s">
        <v>196</v>
      </c>
      <c r="B18" s="179" t="s">
        <v>134</v>
      </c>
      <c r="C18" s="180" t="s">
        <v>111</v>
      </c>
      <c r="D18" s="181" t="s">
        <v>270</v>
      </c>
      <c r="E18" s="182">
        <f>'Base line Parameters'!E20/10^5</f>
        <v>0</v>
      </c>
      <c r="F18" s="183">
        <f>'Base line Parameters'!F20/10^5</f>
        <v>0</v>
      </c>
    </row>
    <row r="19" spans="1:6" ht="14.25" customHeight="1">
      <c r="A19" s="185" t="s">
        <v>197</v>
      </c>
      <c r="B19" s="179" t="s">
        <v>136</v>
      </c>
      <c r="C19" s="180" t="s">
        <v>111</v>
      </c>
      <c r="D19" s="181" t="s">
        <v>270</v>
      </c>
      <c r="E19" s="182">
        <f>'Base line Parameters'!E21/10^5</f>
        <v>0</v>
      </c>
      <c r="F19" s="183">
        <f>'Base line Parameters'!F21/10^5</f>
        <v>0</v>
      </c>
    </row>
    <row r="20" spans="1:6" ht="14.25" customHeight="1">
      <c r="A20" s="185" t="s">
        <v>244</v>
      </c>
      <c r="B20" s="179" t="s">
        <v>245</v>
      </c>
      <c r="C20" s="180" t="s">
        <v>252</v>
      </c>
      <c r="D20" s="181" t="s">
        <v>270</v>
      </c>
      <c r="E20" s="182">
        <f>IF(C4="Grinding",0,(E10-E9)/10^5)</f>
        <v>0</v>
      </c>
      <c r="F20" s="182">
        <f>IF(C4="Grinding",0,(F10-F9)/10^5)</f>
        <v>0</v>
      </c>
    </row>
    <row r="21" spans="1:6" s="184" customFormat="1" ht="14.25" customHeight="1">
      <c r="A21" s="185" t="s">
        <v>248</v>
      </c>
      <c r="B21" s="179" t="s">
        <v>246</v>
      </c>
      <c r="C21" s="180" t="s">
        <v>250</v>
      </c>
      <c r="D21" s="181" t="s">
        <v>270</v>
      </c>
      <c r="E21" s="182">
        <f>IF(E20&gt;0,(E18+E20),(E18))</f>
        <v>0</v>
      </c>
      <c r="F21" s="182">
        <f>IF(F20&gt;0,(F18+F20),(F18))</f>
        <v>0</v>
      </c>
    </row>
    <row r="22" spans="1:6" ht="14.25" customHeight="1">
      <c r="A22" s="185" t="s">
        <v>249</v>
      </c>
      <c r="B22" s="179" t="s">
        <v>247</v>
      </c>
      <c r="C22" s="180" t="s">
        <v>251</v>
      </c>
      <c r="D22" s="181" t="s">
        <v>270</v>
      </c>
      <c r="E22" s="186">
        <f>IF(E20&gt;0,(E19),(E19-E20))</f>
        <v>0</v>
      </c>
      <c r="F22" s="183">
        <f>IF(F20&gt;0,(F19),(F19-F20))</f>
        <v>0</v>
      </c>
    </row>
    <row r="23" spans="1:6" ht="14.25" customHeight="1">
      <c r="A23" s="415">
        <v>2</v>
      </c>
      <c r="B23" s="187" t="s">
        <v>137</v>
      </c>
      <c r="C23" s="188"/>
      <c r="D23" s="188"/>
      <c r="E23" s="188"/>
      <c r="F23" s="189"/>
    </row>
    <row r="24" spans="1:6" ht="15" customHeight="1">
      <c r="A24" s="178" t="s">
        <v>124</v>
      </c>
      <c r="B24" s="179" t="s">
        <v>1136</v>
      </c>
      <c r="C24" s="180" t="s">
        <v>227</v>
      </c>
      <c r="D24" s="181" t="s">
        <v>138</v>
      </c>
      <c r="E24" s="181">
        <f>'Base line Parameters'!E28</f>
        <v>0</v>
      </c>
      <c r="F24" s="190">
        <f>'Base line Parameters'!F28</f>
        <v>0</v>
      </c>
    </row>
    <row r="25" spans="1:6" ht="14.25" customHeight="1">
      <c r="A25" s="178" t="s">
        <v>126</v>
      </c>
      <c r="B25" s="179" t="s">
        <v>235</v>
      </c>
      <c r="C25" s="180" t="s">
        <v>228</v>
      </c>
      <c r="D25" s="181" t="s">
        <v>138</v>
      </c>
      <c r="E25" s="181">
        <f>'Base line Parameters'!E29</f>
        <v>0</v>
      </c>
      <c r="F25" s="190">
        <f>'Base line Parameters'!F29</f>
        <v>0</v>
      </c>
    </row>
    <row r="26" spans="1:6" ht="14.25" customHeight="1">
      <c r="A26" s="178" t="s">
        <v>139</v>
      </c>
      <c r="B26" s="179" t="s">
        <v>1137</v>
      </c>
      <c r="C26" s="180" t="s">
        <v>229</v>
      </c>
      <c r="D26" s="181" t="s">
        <v>138</v>
      </c>
      <c r="E26" s="181">
        <f>'Base line Parameters'!E30</f>
        <v>0</v>
      </c>
      <c r="F26" s="190">
        <f>'Base line Parameters'!F30</f>
        <v>0</v>
      </c>
    </row>
    <row r="27" spans="1:6" ht="28.5" customHeight="1">
      <c r="A27" s="415">
        <v>3</v>
      </c>
      <c r="B27" s="173" t="s">
        <v>140</v>
      </c>
      <c r="C27" s="188" t="s">
        <v>1256</v>
      </c>
      <c r="D27" s="191" t="s">
        <v>234</v>
      </c>
      <c r="E27" s="192">
        <f>'Base line Parameters'!E68</f>
        <v>0</v>
      </c>
      <c r="F27" s="193">
        <f>'Base line Parameters'!F68</f>
        <v>0</v>
      </c>
    </row>
    <row r="28" spans="1:6" ht="42.75" customHeight="1">
      <c r="A28" s="415">
        <v>4</v>
      </c>
      <c r="B28" s="173" t="s">
        <v>141</v>
      </c>
      <c r="C28" s="188" t="s">
        <v>271</v>
      </c>
      <c r="D28" s="191" t="s">
        <v>100</v>
      </c>
      <c r="E28" s="192">
        <f>'Base line Parameters'!E60</f>
        <v>0</v>
      </c>
      <c r="F28" s="193">
        <f>'Base line Parameters'!F60</f>
        <v>0</v>
      </c>
    </row>
    <row r="29" spans="1:6" ht="14.25" customHeight="1">
      <c r="A29" s="415">
        <v>5</v>
      </c>
      <c r="B29" s="173" t="s">
        <v>142</v>
      </c>
      <c r="C29" s="188"/>
      <c r="D29" s="191" t="s">
        <v>100</v>
      </c>
      <c r="E29" s="192">
        <f>'Base line Parameters'!E37</f>
        <v>0</v>
      </c>
      <c r="F29" s="193">
        <f>'Base line Parameters'!F37</f>
        <v>0</v>
      </c>
    </row>
    <row r="30" spans="1:6" ht="31.5" customHeight="1">
      <c r="A30" s="415">
        <v>6</v>
      </c>
      <c r="B30" s="173" t="s">
        <v>1566</v>
      </c>
      <c r="C30" s="188"/>
      <c r="D30" s="191" t="s">
        <v>100</v>
      </c>
      <c r="E30" s="192">
        <f>'Base line Parameters'!E58</f>
        <v>0</v>
      </c>
      <c r="F30" s="193">
        <f>'Base line Parameters'!F58</f>
        <v>0</v>
      </c>
    </row>
    <row r="31" spans="1:6" ht="42.75" customHeight="1">
      <c r="A31" s="415">
        <v>7</v>
      </c>
      <c r="B31" s="173" t="s">
        <v>143</v>
      </c>
      <c r="C31" s="188" t="s">
        <v>233</v>
      </c>
      <c r="D31" s="191" t="s">
        <v>234</v>
      </c>
      <c r="E31" s="192">
        <f>E27+(E29*860/10)-(E30*2717/10)</f>
        <v>0</v>
      </c>
      <c r="F31" s="193">
        <f>F27+(F29*860/10)-(F30*2717/10)</f>
        <v>0</v>
      </c>
    </row>
    <row r="32" spans="1:6" ht="26.25" customHeight="1">
      <c r="A32" s="415">
        <v>8</v>
      </c>
      <c r="B32" s="187" t="s">
        <v>725</v>
      </c>
      <c r="C32" s="188"/>
      <c r="D32" s="191" t="s">
        <v>2</v>
      </c>
      <c r="E32" s="192" t="str">
        <f>E5</f>
        <v>Baseline Year (Average of year1 to Year 3)</v>
      </c>
      <c r="F32" s="193" t="str">
        <f>F5</f>
        <v>Current/Assessment /Target Year    (20__-20__)</v>
      </c>
    </row>
    <row r="33" spans="1:6" ht="14.25" customHeight="1">
      <c r="A33" s="178" t="s">
        <v>124</v>
      </c>
      <c r="B33" s="179" t="s">
        <v>144</v>
      </c>
      <c r="C33" s="180" t="s">
        <v>230</v>
      </c>
      <c r="D33" s="181" t="s">
        <v>270</v>
      </c>
      <c r="E33" s="182">
        <f aca="true" t="shared" si="0" ref="E33:F35">_xlfn.IFERROR(E15*E24/IF(AND($E$15&gt;$E$16,$E$15&gt;$E$17),($E$24),(IF(AND($E$16&gt;$E$15,$E$16&gt;$E$17),($E$25),($E$26)))),0)</f>
        <v>0</v>
      </c>
      <c r="F33" s="183">
        <f t="shared" si="0"/>
        <v>0</v>
      </c>
    </row>
    <row r="34" spans="1:6" ht="14.25" customHeight="1">
      <c r="A34" s="178" t="s">
        <v>126</v>
      </c>
      <c r="B34" s="179" t="s">
        <v>145</v>
      </c>
      <c r="C34" s="180" t="s">
        <v>231</v>
      </c>
      <c r="D34" s="181" t="s">
        <v>270</v>
      </c>
      <c r="E34" s="182">
        <f t="shared" si="0"/>
        <v>0</v>
      </c>
      <c r="F34" s="183">
        <f t="shared" si="0"/>
        <v>0</v>
      </c>
    </row>
    <row r="35" spans="1:6" ht="14.25" customHeight="1">
      <c r="A35" s="178" t="s">
        <v>139</v>
      </c>
      <c r="B35" s="179" t="s">
        <v>146</v>
      </c>
      <c r="C35" s="180" t="s">
        <v>232</v>
      </c>
      <c r="D35" s="181" t="s">
        <v>270</v>
      </c>
      <c r="E35" s="182">
        <f t="shared" si="0"/>
        <v>0</v>
      </c>
      <c r="F35" s="183">
        <f t="shared" si="0"/>
        <v>0</v>
      </c>
    </row>
    <row r="36" spans="1:6" ht="14.25" customHeight="1">
      <c r="A36" s="178" t="s">
        <v>127</v>
      </c>
      <c r="B36" s="179" t="s">
        <v>253</v>
      </c>
      <c r="C36" s="180" t="s">
        <v>254</v>
      </c>
      <c r="D36" s="181" t="s">
        <v>270</v>
      </c>
      <c r="E36" s="182">
        <f>_xlfn.IFERROR(E21/IF(AND($E$15&gt;$E$16,$E$15&gt;$E$17),($E$24),(IF(AND($E$16&gt;$E$15,$E$16&gt;$E$17),($E$25),($E$26)))),0)</f>
        <v>0</v>
      </c>
      <c r="F36" s="183">
        <f>_xlfn.IFERROR(F21/IF(AND($E$15&gt;$E$16,$E$15&gt;$E$17),($E$24),(IF(AND($E$16&gt;$E$15,$E$16&gt;$E$17),($E$25),($E$26)))),0)</f>
        <v>0</v>
      </c>
    </row>
    <row r="37" spans="1:6" ht="14.25" customHeight="1">
      <c r="A37" s="194" t="s">
        <v>129</v>
      </c>
      <c r="B37" s="195" t="s">
        <v>255</v>
      </c>
      <c r="C37" s="180" t="s">
        <v>256</v>
      </c>
      <c r="D37" s="181" t="s">
        <v>270</v>
      </c>
      <c r="E37" s="182">
        <f>_xlfn.IFERROR(E22/IF(AND($E$15&gt;$E$16,$E$15&gt;$E$17),($E$24),(IF(AND($E$16&gt;$E$15,$E$16&gt;$E$17),($E$25),($E$26)))),0)</f>
        <v>0</v>
      </c>
      <c r="F37" s="183">
        <f>_xlfn.IFERROR(F22/IF(AND($E$15&gt;$E$16,$E$15&gt;$E$17),($E$24),(IF(AND($E$16&gt;$E$15,$E$16&gt;$E$17),($E$25),($E$26)))),0)</f>
        <v>0</v>
      </c>
    </row>
    <row r="38" spans="1:6" ht="14.25">
      <c r="A38" s="185" t="s">
        <v>131</v>
      </c>
      <c r="B38" s="196" t="s">
        <v>147</v>
      </c>
      <c r="C38" s="197" t="s">
        <v>1139</v>
      </c>
      <c r="D38" s="181" t="s">
        <v>270</v>
      </c>
      <c r="E38" s="198">
        <f>SUM(E33:E36)</f>
        <v>0</v>
      </c>
      <c r="F38" s="198">
        <f>SUM(F33:F36)</f>
        <v>0</v>
      </c>
    </row>
    <row r="39" spans="1:6" ht="14.25" customHeight="1">
      <c r="A39" s="415">
        <v>9</v>
      </c>
      <c r="B39" s="173" t="s">
        <v>148</v>
      </c>
      <c r="C39" s="188"/>
      <c r="D39" s="191" t="s">
        <v>2</v>
      </c>
      <c r="E39" s="192" t="str">
        <f>E32</f>
        <v>Baseline Year (Average of year1 to Year 3)</v>
      </c>
      <c r="F39" s="193" t="str">
        <f>F32</f>
        <v>Current/Assessment /Target Year    (20__-20__)</v>
      </c>
    </row>
    <row r="40" spans="1:6" ht="14.25" customHeight="1">
      <c r="A40" s="185" t="s">
        <v>124</v>
      </c>
      <c r="B40" s="196" t="s">
        <v>149</v>
      </c>
      <c r="C40" s="197" t="s">
        <v>111</v>
      </c>
      <c r="D40" s="199" t="s">
        <v>272</v>
      </c>
      <c r="E40" s="200">
        <f>'Base line Parameters'!E32</f>
        <v>0</v>
      </c>
      <c r="F40" s="201">
        <f>'Base line Parameters'!F32</f>
        <v>0</v>
      </c>
    </row>
    <row r="41" spans="1:6" ht="28.5" customHeight="1">
      <c r="A41" s="178" t="s">
        <v>126</v>
      </c>
      <c r="B41" s="179" t="s">
        <v>718</v>
      </c>
      <c r="C41" s="197" t="s">
        <v>111</v>
      </c>
      <c r="D41" s="181" t="s">
        <v>151</v>
      </c>
      <c r="E41" s="202">
        <f>'Base line Parameters'!E33</f>
        <v>0</v>
      </c>
      <c r="F41" s="203">
        <f>'Base line Parameters'!F33</f>
        <v>0</v>
      </c>
    </row>
    <row r="42" spans="1:6" ht="28.5" customHeight="1">
      <c r="A42" s="178" t="s">
        <v>139</v>
      </c>
      <c r="B42" s="179" t="s">
        <v>152</v>
      </c>
      <c r="C42" s="197" t="s">
        <v>111</v>
      </c>
      <c r="D42" s="181" t="s">
        <v>153</v>
      </c>
      <c r="E42" s="202">
        <f>'Base line Parameters'!E34</f>
        <v>0</v>
      </c>
      <c r="F42" s="203">
        <f>'Base line Parameters'!F34</f>
        <v>0</v>
      </c>
    </row>
    <row r="43" spans="1:6" s="818" customFormat="1" ht="49.5" customHeight="1">
      <c r="A43" s="817">
        <v>10</v>
      </c>
      <c r="B43" s="1033" t="s">
        <v>154</v>
      </c>
      <c r="C43" s="1034"/>
      <c r="D43" s="820" t="s">
        <v>2</v>
      </c>
      <c r="E43" s="1035" t="str">
        <f>E39</f>
        <v>Baseline Year (Average of year1 to Year 3)</v>
      </c>
      <c r="F43" s="1036" t="str">
        <f>F39</f>
        <v>Current/Assessment /Target Year    (20__-20__)</v>
      </c>
    </row>
    <row r="44" spans="1:6" s="74" customFormat="1" ht="42.75" customHeight="1">
      <c r="A44" s="185" t="s">
        <v>124</v>
      </c>
      <c r="B44" s="1037" t="s">
        <v>155</v>
      </c>
      <c r="C44" s="441" t="s">
        <v>369</v>
      </c>
      <c r="D44" s="90" t="s">
        <v>60</v>
      </c>
      <c r="E44" s="1038">
        <f>(E36*E42*'Base line Parameters'!E56/10)</f>
        <v>0</v>
      </c>
      <c r="F44" s="1039">
        <f>(F36*F42*'Base line Parameters'!F56/10)</f>
        <v>0</v>
      </c>
    </row>
    <row r="45" spans="1:6" s="74" customFormat="1" ht="50.25" customHeight="1">
      <c r="A45" s="178" t="s">
        <v>126</v>
      </c>
      <c r="B45" s="1037" t="s">
        <v>156</v>
      </c>
      <c r="C45" s="441" t="s">
        <v>370</v>
      </c>
      <c r="D45" s="90" t="s">
        <v>60</v>
      </c>
      <c r="E45" s="90">
        <f>(E22*(E40*1000+E41*'Base line Parameters'!E56)/10)</f>
        <v>0</v>
      </c>
      <c r="F45" s="1039">
        <f>(F22*(F40*1000+F41*'Base line Parameters'!F56)/10)</f>
        <v>0</v>
      </c>
    </row>
    <row r="46" spans="1:6" s="74" customFormat="1" ht="28.5" customHeight="1">
      <c r="A46" s="178" t="s">
        <v>139</v>
      </c>
      <c r="B46" s="1037" t="s">
        <v>175</v>
      </c>
      <c r="C46" s="441" t="s">
        <v>1138</v>
      </c>
      <c r="D46" s="90" t="s">
        <v>60</v>
      </c>
      <c r="E46" s="1038">
        <f>E29*(3208-860)/10</f>
        <v>0</v>
      </c>
      <c r="F46" s="1039">
        <f>F29*(3208-860)/10</f>
        <v>0</v>
      </c>
    </row>
    <row r="47" spans="1:6" s="74" customFormat="1" ht="25.5" customHeight="1">
      <c r="A47" s="178" t="s">
        <v>127</v>
      </c>
      <c r="B47" s="1037" t="s">
        <v>157</v>
      </c>
      <c r="C47" s="441" t="s">
        <v>521</v>
      </c>
      <c r="D47" s="90" t="s">
        <v>60</v>
      </c>
      <c r="E47" s="1038">
        <f>E31+E44+E45+E46</f>
        <v>0</v>
      </c>
      <c r="F47" s="1039">
        <f>F31+F44+F45+F46</f>
        <v>0</v>
      </c>
    </row>
    <row r="48" spans="1:6" s="205" customFormat="1" ht="28.5">
      <c r="A48" s="697">
        <v>11</v>
      </c>
      <c r="B48" s="1040" t="s">
        <v>158</v>
      </c>
      <c r="C48" s="1041" t="s">
        <v>1607</v>
      </c>
      <c r="D48" s="1042" t="str">
        <f>IF($C$4="Clinkerization","kcal/kg of equivalent Clinker","kcal/kg of equivalent Cement")</f>
        <v>kcal/kg of equivalent Cement</v>
      </c>
      <c r="E48" s="1043">
        <f>_xlfn.IFERROR(IF(C4="Clinkerization",E47/(E7*100),E47/(E38*100)),0)</f>
        <v>0</v>
      </c>
      <c r="F48" s="1043">
        <f>_xlfn.IFERROR(IF(C4="Clinkerization",F47/(F7*100),F47/(F38*100)),0)</f>
        <v>0</v>
      </c>
    </row>
    <row r="49" spans="1:256" s="205" customFormat="1" ht="28.5">
      <c r="A49" s="697">
        <v>11.1</v>
      </c>
      <c r="B49" s="1040" t="s">
        <v>158</v>
      </c>
      <c r="C49" s="1041" t="s">
        <v>1257</v>
      </c>
      <c r="D49" s="1042" t="str">
        <f>IF($C$4="Clinkerization","toe/tonne of equivalent Clinker","toe/tonne of equivalent Cement")</f>
        <v>toe/tonne of equivalent Cement</v>
      </c>
      <c r="E49" s="1046">
        <f>E48/10000</f>
        <v>0</v>
      </c>
      <c r="F49" s="1046">
        <f aca="true" t="shared" si="1" ref="F49:BQ49">F48/10000</f>
        <v>0</v>
      </c>
      <c r="G49" s="696">
        <f t="shared" si="1"/>
        <v>0</v>
      </c>
      <c r="H49" s="695">
        <f t="shared" si="1"/>
        <v>0</v>
      </c>
      <c r="I49" s="695">
        <f t="shared" si="1"/>
        <v>0</v>
      </c>
      <c r="J49" s="695">
        <f t="shared" si="1"/>
        <v>0</v>
      </c>
      <c r="K49" s="695">
        <f t="shared" si="1"/>
        <v>0</v>
      </c>
      <c r="L49" s="695">
        <f t="shared" si="1"/>
        <v>0</v>
      </c>
      <c r="M49" s="695">
        <f t="shared" si="1"/>
        <v>0</v>
      </c>
      <c r="N49" s="695">
        <f t="shared" si="1"/>
        <v>0</v>
      </c>
      <c r="O49" s="695">
        <f t="shared" si="1"/>
        <v>0</v>
      </c>
      <c r="P49" s="695">
        <f t="shared" si="1"/>
        <v>0</v>
      </c>
      <c r="Q49" s="695">
        <f t="shared" si="1"/>
        <v>0</v>
      </c>
      <c r="R49" s="695">
        <f t="shared" si="1"/>
        <v>0</v>
      </c>
      <c r="S49" s="695">
        <f t="shared" si="1"/>
        <v>0</v>
      </c>
      <c r="T49" s="695">
        <f t="shared" si="1"/>
        <v>0</v>
      </c>
      <c r="U49" s="695">
        <f t="shared" si="1"/>
        <v>0</v>
      </c>
      <c r="V49" s="695">
        <f t="shared" si="1"/>
        <v>0</v>
      </c>
      <c r="W49" s="695">
        <f t="shared" si="1"/>
        <v>0</v>
      </c>
      <c r="X49" s="695">
        <f t="shared" si="1"/>
        <v>0</v>
      </c>
      <c r="Y49" s="695">
        <f t="shared" si="1"/>
        <v>0</v>
      </c>
      <c r="Z49" s="695">
        <f t="shared" si="1"/>
        <v>0</v>
      </c>
      <c r="AA49" s="695">
        <f t="shared" si="1"/>
        <v>0</v>
      </c>
      <c r="AB49" s="695">
        <f t="shared" si="1"/>
        <v>0</v>
      </c>
      <c r="AC49" s="695">
        <f t="shared" si="1"/>
        <v>0</v>
      </c>
      <c r="AD49" s="695">
        <f t="shared" si="1"/>
        <v>0</v>
      </c>
      <c r="AE49" s="695">
        <f t="shared" si="1"/>
        <v>0</v>
      </c>
      <c r="AF49" s="695">
        <f t="shared" si="1"/>
        <v>0</v>
      </c>
      <c r="AG49" s="695">
        <f t="shared" si="1"/>
        <v>0</v>
      </c>
      <c r="AH49" s="695">
        <f t="shared" si="1"/>
        <v>0</v>
      </c>
      <c r="AI49" s="695">
        <f t="shared" si="1"/>
        <v>0</v>
      </c>
      <c r="AJ49" s="695">
        <f t="shared" si="1"/>
        <v>0</v>
      </c>
      <c r="AK49" s="695">
        <f t="shared" si="1"/>
        <v>0</v>
      </c>
      <c r="AL49" s="695">
        <f t="shared" si="1"/>
        <v>0</v>
      </c>
      <c r="AM49" s="695">
        <f t="shared" si="1"/>
        <v>0</v>
      </c>
      <c r="AN49" s="695">
        <f t="shared" si="1"/>
        <v>0</v>
      </c>
      <c r="AO49" s="695">
        <f t="shared" si="1"/>
        <v>0</v>
      </c>
      <c r="AP49" s="695">
        <f t="shared" si="1"/>
        <v>0</v>
      </c>
      <c r="AQ49" s="695">
        <f t="shared" si="1"/>
        <v>0</v>
      </c>
      <c r="AR49" s="695">
        <f t="shared" si="1"/>
        <v>0</v>
      </c>
      <c r="AS49" s="695">
        <f t="shared" si="1"/>
        <v>0</v>
      </c>
      <c r="AT49" s="695">
        <f t="shared" si="1"/>
        <v>0</v>
      </c>
      <c r="AU49" s="695">
        <f t="shared" si="1"/>
        <v>0</v>
      </c>
      <c r="AV49" s="695">
        <f t="shared" si="1"/>
        <v>0</v>
      </c>
      <c r="AW49" s="695">
        <f t="shared" si="1"/>
        <v>0</v>
      </c>
      <c r="AX49" s="695">
        <f t="shared" si="1"/>
        <v>0</v>
      </c>
      <c r="AY49" s="695">
        <f t="shared" si="1"/>
        <v>0</v>
      </c>
      <c r="AZ49" s="695">
        <f t="shared" si="1"/>
        <v>0</v>
      </c>
      <c r="BA49" s="695">
        <f t="shared" si="1"/>
        <v>0</v>
      </c>
      <c r="BB49" s="695">
        <f t="shared" si="1"/>
        <v>0</v>
      </c>
      <c r="BC49" s="695">
        <f t="shared" si="1"/>
        <v>0</v>
      </c>
      <c r="BD49" s="695">
        <f t="shared" si="1"/>
        <v>0</v>
      </c>
      <c r="BE49" s="695">
        <f t="shared" si="1"/>
        <v>0</v>
      </c>
      <c r="BF49" s="695">
        <f t="shared" si="1"/>
        <v>0</v>
      </c>
      <c r="BG49" s="695">
        <f t="shared" si="1"/>
        <v>0</v>
      </c>
      <c r="BH49" s="695">
        <f t="shared" si="1"/>
        <v>0</v>
      </c>
      <c r="BI49" s="695">
        <f t="shared" si="1"/>
        <v>0</v>
      </c>
      <c r="BJ49" s="695">
        <f t="shared" si="1"/>
        <v>0</v>
      </c>
      <c r="BK49" s="695">
        <f t="shared" si="1"/>
        <v>0</v>
      </c>
      <c r="BL49" s="695">
        <f t="shared" si="1"/>
        <v>0</v>
      </c>
      <c r="BM49" s="695">
        <f t="shared" si="1"/>
        <v>0</v>
      </c>
      <c r="BN49" s="695">
        <f t="shared" si="1"/>
        <v>0</v>
      </c>
      <c r="BO49" s="695">
        <f t="shared" si="1"/>
        <v>0</v>
      </c>
      <c r="BP49" s="695">
        <f t="shared" si="1"/>
        <v>0</v>
      </c>
      <c r="BQ49" s="695">
        <f t="shared" si="1"/>
        <v>0</v>
      </c>
      <c r="BR49" s="695">
        <f aca="true" t="shared" si="2" ref="BR49:EC49">BR48/10000</f>
        <v>0</v>
      </c>
      <c r="BS49" s="695">
        <f t="shared" si="2"/>
        <v>0</v>
      </c>
      <c r="BT49" s="695">
        <f t="shared" si="2"/>
        <v>0</v>
      </c>
      <c r="BU49" s="695">
        <f t="shared" si="2"/>
        <v>0</v>
      </c>
      <c r="BV49" s="695">
        <f t="shared" si="2"/>
        <v>0</v>
      </c>
      <c r="BW49" s="695">
        <f t="shared" si="2"/>
        <v>0</v>
      </c>
      <c r="BX49" s="695">
        <f t="shared" si="2"/>
        <v>0</v>
      </c>
      <c r="BY49" s="695">
        <f t="shared" si="2"/>
        <v>0</v>
      </c>
      <c r="BZ49" s="695">
        <f t="shared" si="2"/>
        <v>0</v>
      </c>
      <c r="CA49" s="695">
        <f t="shared" si="2"/>
        <v>0</v>
      </c>
      <c r="CB49" s="695">
        <f t="shared" si="2"/>
        <v>0</v>
      </c>
      <c r="CC49" s="695">
        <f t="shared" si="2"/>
        <v>0</v>
      </c>
      <c r="CD49" s="695">
        <f t="shared" si="2"/>
        <v>0</v>
      </c>
      <c r="CE49" s="695">
        <f t="shared" si="2"/>
        <v>0</v>
      </c>
      <c r="CF49" s="695">
        <f t="shared" si="2"/>
        <v>0</v>
      </c>
      <c r="CG49" s="695">
        <f t="shared" si="2"/>
        <v>0</v>
      </c>
      <c r="CH49" s="695">
        <f t="shared" si="2"/>
        <v>0</v>
      </c>
      <c r="CI49" s="695">
        <f t="shared" si="2"/>
        <v>0</v>
      </c>
      <c r="CJ49" s="695">
        <f t="shared" si="2"/>
        <v>0</v>
      </c>
      <c r="CK49" s="695">
        <f t="shared" si="2"/>
        <v>0</v>
      </c>
      <c r="CL49" s="695">
        <f t="shared" si="2"/>
        <v>0</v>
      </c>
      <c r="CM49" s="695">
        <f t="shared" si="2"/>
        <v>0</v>
      </c>
      <c r="CN49" s="695">
        <f t="shared" si="2"/>
        <v>0</v>
      </c>
      <c r="CO49" s="695">
        <f t="shared" si="2"/>
        <v>0</v>
      </c>
      <c r="CP49" s="695">
        <f t="shared" si="2"/>
        <v>0</v>
      </c>
      <c r="CQ49" s="695">
        <f t="shared" si="2"/>
        <v>0</v>
      </c>
      <c r="CR49" s="695">
        <f t="shared" si="2"/>
        <v>0</v>
      </c>
      <c r="CS49" s="695">
        <f t="shared" si="2"/>
        <v>0</v>
      </c>
      <c r="CT49" s="695">
        <f t="shared" si="2"/>
        <v>0</v>
      </c>
      <c r="CU49" s="695">
        <f t="shared" si="2"/>
        <v>0</v>
      </c>
      <c r="CV49" s="695">
        <f t="shared" si="2"/>
        <v>0</v>
      </c>
      <c r="CW49" s="695">
        <f t="shared" si="2"/>
        <v>0</v>
      </c>
      <c r="CX49" s="695">
        <f t="shared" si="2"/>
        <v>0</v>
      </c>
      <c r="CY49" s="695">
        <f t="shared" si="2"/>
        <v>0</v>
      </c>
      <c r="CZ49" s="695">
        <f t="shared" si="2"/>
        <v>0</v>
      </c>
      <c r="DA49" s="695">
        <f t="shared" si="2"/>
        <v>0</v>
      </c>
      <c r="DB49" s="695">
        <f t="shared" si="2"/>
        <v>0</v>
      </c>
      <c r="DC49" s="695">
        <f t="shared" si="2"/>
        <v>0</v>
      </c>
      <c r="DD49" s="695">
        <f t="shared" si="2"/>
        <v>0</v>
      </c>
      <c r="DE49" s="695">
        <f t="shared" si="2"/>
        <v>0</v>
      </c>
      <c r="DF49" s="695">
        <f t="shared" si="2"/>
        <v>0</v>
      </c>
      <c r="DG49" s="695">
        <f t="shared" si="2"/>
        <v>0</v>
      </c>
      <c r="DH49" s="695">
        <f t="shared" si="2"/>
        <v>0</v>
      </c>
      <c r="DI49" s="695">
        <f t="shared" si="2"/>
        <v>0</v>
      </c>
      <c r="DJ49" s="695">
        <f t="shared" si="2"/>
        <v>0</v>
      </c>
      <c r="DK49" s="695">
        <f t="shared" si="2"/>
        <v>0</v>
      </c>
      <c r="DL49" s="695">
        <f t="shared" si="2"/>
        <v>0</v>
      </c>
      <c r="DM49" s="695">
        <f t="shared" si="2"/>
        <v>0</v>
      </c>
      <c r="DN49" s="695">
        <f t="shared" si="2"/>
        <v>0</v>
      </c>
      <c r="DO49" s="695">
        <f t="shared" si="2"/>
        <v>0</v>
      </c>
      <c r="DP49" s="695">
        <f t="shared" si="2"/>
        <v>0</v>
      </c>
      <c r="DQ49" s="695">
        <f t="shared" si="2"/>
        <v>0</v>
      </c>
      <c r="DR49" s="695">
        <f t="shared" si="2"/>
        <v>0</v>
      </c>
      <c r="DS49" s="695">
        <f t="shared" si="2"/>
        <v>0</v>
      </c>
      <c r="DT49" s="695">
        <f t="shared" si="2"/>
        <v>0</v>
      </c>
      <c r="DU49" s="695">
        <f t="shared" si="2"/>
        <v>0</v>
      </c>
      <c r="DV49" s="695">
        <f t="shared" si="2"/>
        <v>0</v>
      </c>
      <c r="DW49" s="695">
        <f t="shared" si="2"/>
        <v>0</v>
      </c>
      <c r="DX49" s="695">
        <f t="shared" si="2"/>
        <v>0</v>
      </c>
      <c r="DY49" s="695">
        <f t="shared" si="2"/>
        <v>0</v>
      </c>
      <c r="DZ49" s="695">
        <f t="shared" si="2"/>
        <v>0</v>
      </c>
      <c r="EA49" s="695">
        <f t="shared" si="2"/>
        <v>0</v>
      </c>
      <c r="EB49" s="695">
        <f t="shared" si="2"/>
        <v>0</v>
      </c>
      <c r="EC49" s="695">
        <f t="shared" si="2"/>
        <v>0</v>
      </c>
      <c r="ED49" s="695">
        <f aca="true" t="shared" si="3" ref="ED49:GO49">ED48/10000</f>
        <v>0</v>
      </c>
      <c r="EE49" s="695">
        <f t="shared" si="3"/>
        <v>0</v>
      </c>
      <c r="EF49" s="695">
        <f t="shared" si="3"/>
        <v>0</v>
      </c>
      <c r="EG49" s="695">
        <f t="shared" si="3"/>
        <v>0</v>
      </c>
      <c r="EH49" s="695">
        <f t="shared" si="3"/>
        <v>0</v>
      </c>
      <c r="EI49" s="695">
        <f t="shared" si="3"/>
        <v>0</v>
      </c>
      <c r="EJ49" s="695">
        <f t="shared" si="3"/>
        <v>0</v>
      </c>
      <c r="EK49" s="695">
        <f t="shared" si="3"/>
        <v>0</v>
      </c>
      <c r="EL49" s="695">
        <f t="shared" si="3"/>
        <v>0</v>
      </c>
      <c r="EM49" s="695">
        <f t="shared" si="3"/>
        <v>0</v>
      </c>
      <c r="EN49" s="695">
        <f t="shared" si="3"/>
        <v>0</v>
      </c>
      <c r="EO49" s="695">
        <f t="shared" si="3"/>
        <v>0</v>
      </c>
      <c r="EP49" s="695">
        <f t="shared" si="3"/>
        <v>0</v>
      </c>
      <c r="EQ49" s="695">
        <f t="shared" si="3"/>
        <v>0</v>
      </c>
      <c r="ER49" s="695">
        <f t="shared" si="3"/>
        <v>0</v>
      </c>
      <c r="ES49" s="695">
        <f t="shared" si="3"/>
        <v>0</v>
      </c>
      <c r="ET49" s="695">
        <f t="shared" si="3"/>
        <v>0</v>
      </c>
      <c r="EU49" s="695">
        <f t="shared" si="3"/>
        <v>0</v>
      </c>
      <c r="EV49" s="695">
        <f t="shared" si="3"/>
        <v>0</v>
      </c>
      <c r="EW49" s="695">
        <f t="shared" si="3"/>
        <v>0</v>
      </c>
      <c r="EX49" s="695">
        <f t="shared" si="3"/>
        <v>0</v>
      </c>
      <c r="EY49" s="695">
        <f t="shared" si="3"/>
        <v>0</v>
      </c>
      <c r="EZ49" s="695">
        <f t="shared" si="3"/>
        <v>0</v>
      </c>
      <c r="FA49" s="695">
        <f t="shared" si="3"/>
        <v>0</v>
      </c>
      <c r="FB49" s="695">
        <f t="shared" si="3"/>
        <v>0</v>
      </c>
      <c r="FC49" s="695">
        <f t="shared" si="3"/>
        <v>0</v>
      </c>
      <c r="FD49" s="695">
        <f t="shared" si="3"/>
        <v>0</v>
      </c>
      <c r="FE49" s="695">
        <f t="shared" si="3"/>
        <v>0</v>
      </c>
      <c r="FF49" s="695">
        <f t="shared" si="3"/>
        <v>0</v>
      </c>
      <c r="FG49" s="695">
        <f t="shared" si="3"/>
        <v>0</v>
      </c>
      <c r="FH49" s="695">
        <f t="shared" si="3"/>
        <v>0</v>
      </c>
      <c r="FI49" s="695">
        <f t="shared" si="3"/>
        <v>0</v>
      </c>
      <c r="FJ49" s="695">
        <f t="shared" si="3"/>
        <v>0</v>
      </c>
      <c r="FK49" s="695">
        <f t="shared" si="3"/>
        <v>0</v>
      </c>
      <c r="FL49" s="695">
        <f t="shared" si="3"/>
        <v>0</v>
      </c>
      <c r="FM49" s="695">
        <f t="shared" si="3"/>
        <v>0</v>
      </c>
      <c r="FN49" s="695">
        <f t="shared" si="3"/>
        <v>0</v>
      </c>
      <c r="FO49" s="695">
        <f t="shared" si="3"/>
        <v>0</v>
      </c>
      <c r="FP49" s="695">
        <f t="shared" si="3"/>
        <v>0</v>
      </c>
      <c r="FQ49" s="695">
        <f t="shared" si="3"/>
        <v>0</v>
      </c>
      <c r="FR49" s="695">
        <f t="shared" si="3"/>
        <v>0</v>
      </c>
      <c r="FS49" s="695">
        <f t="shared" si="3"/>
        <v>0</v>
      </c>
      <c r="FT49" s="695">
        <f t="shared" si="3"/>
        <v>0</v>
      </c>
      <c r="FU49" s="695">
        <f t="shared" si="3"/>
        <v>0</v>
      </c>
      <c r="FV49" s="695">
        <f t="shared" si="3"/>
        <v>0</v>
      </c>
      <c r="FW49" s="695">
        <f t="shared" si="3"/>
        <v>0</v>
      </c>
      <c r="FX49" s="695">
        <f t="shared" si="3"/>
        <v>0</v>
      </c>
      <c r="FY49" s="695">
        <f t="shared" si="3"/>
        <v>0</v>
      </c>
      <c r="FZ49" s="695">
        <f t="shared" si="3"/>
        <v>0</v>
      </c>
      <c r="GA49" s="695">
        <f t="shared" si="3"/>
        <v>0</v>
      </c>
      <c r="GB49" s="695">
        <f t="shared" si="3"/>
        <v>0</v>
      </c>
      <c r="GC49" s="695">
        <f t="shared" si="3"/>
        <v>0</v>
      </c>
      <c r="GD49" s="695">
        <f t="shared" si="3"/>
        <v>0</v>
      </c>
      <c r="GE49" s="695">
        <f t="shared" si="3"/>
        <v>0</v>
      </c>
      <c r="GF49" s="695">
        <f t="shared" si="3"/>
        <v>0</v>
      </c>
      <c r="GG49" s="695">
        <f t="shared" si="3"/>
        <v>0</v>
      </c>
      <c r="GH49" s="695">
        <f t="shared" si="3"/>
        <v>0</v>
      </c>
      <c r="GI49" s="695">
        <f t="shared" si="3"/>
        <v>0</v>
      </c>
      <c r="GJ49" s="695">
        <f t="shared" si="3"/>
        <v>0</v>
      </c>
      <c r="GK49" s="695">
        <f t="shared" si="3"/>
        <v>0</v>
      </c>
      <c r="GL49" s="695">
        <f t="shared" si="3"/>
        <v>0</v>
      </c>
      <c r="GM49" s="695">
        <f t="shared" si="3"/>
        <v>0</v>
      </c>
      <c r="GN49" s="695">
        <f t="shared" si="3"/>
        <v>0</v>
      </c>
      <c r="GO49" s="695">
        <f t="shared" si="3"/>
        <v>0</v>
      </c>
      <c r="GP49" s="695">
        <f aca="true" t="shared" si="4" ref="GP49:IV49">GP48/10000</f>
        <v>0</v>
      </c>
      <c r="GQ49" s="695">
        <f t="shared" si="4"/>
        <v>0</v>
      </c>
      <c r="GR49" s="695">
        <f t="shared" si="4"/>
        <v>0</v>
      </c>
      <c r="GS49" s="695">
        <f t="shared" si="4"/>
        <v>0</v>
      </c>
      <c r="GT49" s="695">
        <f t="shared" si="4"/>
        <v>0</v>
      </c>
      <c r="GU49" s="695">
        <f t="shared" si="4"/>
        <v>0</v>
      </c>
      <c r="GV49" s="695">
        <f t="shared" si="4"/>
        <v>0</v>
      </c>
      <c r="GW49" s="695">
        <f t="shared" si="4"/>
        <v>0</v>
      </c>
      <c r="GX49" s="695">
        <f t="shared" si="4"/>
        <v>0</v>
      </c>
      <c r="GY49" s="695">
        <f t="shared" si="4"/>
        <v>0</v>
      </c>
      <c r="GZ49" s="695">
        <f t="shared" si="4"/>
        <v>0</v>
      </c>
      <c r="HA49" s="695">
        <f t="shared" si="4"/>
        <v>0</v>
      </c>
      <c r="HB49" s="695">
        <f t="shared" si="4"/>
        <v>0</v>
      </c>
      <c r="HC49" s="695">
        <f t="shared" si="4"/>
        <v>0</v>
      </c>
      <c r="HD49" s="695">
        <f t="shared" si="4"/>
        <v>0</v>
      </c>
      <c r="HE49" s="695">
        <f t="shared" si="4"/>
        <v>0</v>
      </c>
      <c r="HF49" s="695">
        <f t="shared" si="4"/>
        <v>0</v>
      </c>
      <c r="HG49" s="695">
        <f t="shared" si="4"/>
        <v>0</v>
      </c>
      <c r="HH49" s="695">
        <f t="shared" si="4"/>
        <v>0</v>
      </c>
      <c r="HI49" s="695">
        <f t="shared" si="4"/>
        <v>0</v>
      </c>
      <c r="HJ49" s="695">
        <f t="shared" si="4"/>
        <v>0</v>
      </c>
      <c r="HK49" s="695">
        <f t="shared" si="4"/>
        <v>0</v>
      </c>
      <c r="HL49" s="695">
        <f t="shared" si="4"/>
        <v>0</v>
      </c>
      <c r="HM49" s="695">
        <f t="shared" si="4"/>
        <v>0</v>
      </c>
      <c r="HN49" s="695">
        <f t="shared" si="4"/>
        <v>0</v>
      </c>
      <c r="HO49" s="695">
        <f t="shared" si="4"/>
        <v>0</v>
      </c>
      <c r="HP49" s="695">
        <f t="shared" si="4"/>
        <v>0</v>
      </c>
      <c r="HQ49" s="695">
        <f t="shared" si="4"/>
        <v>0</v>
      </c>
      <c r="HR49" s="695">
        <f t="shared" si="4"/>
        <v>0</v>
      </c>
      <c r="HS49" s="695">
        <f t="shared" si="4"/>
        <v>0</v>
      </c>
      <c r="HT49" s="695">
        <f t="shared" si="4"/>
        <v>0</v>
      </c>
      <c r="HU49" s="695">
        <f t="shared" si="4"/>
        <v>0</v>
      </c>
      <c r="HV49" s="695">
        <f t="shared" si="4"/>
        <v>0</v>
      </c>
      <c r="HW49" s="695">
        <f t="shared" si="4"/>
        <v>0</v>
      </c>
      <c r="HX49" s="695">
        <f t="shared" si="4"/>
        <v>0</v>
      </c>
      <c r="HY49" s="695">
        <f t="shared" si="4"/>
        <v>0</v>
      </c>
      <c r="HZ49" s="695">
        <f t="shared" si="4"/>
        <v>0</v>
      </c>
      <c r="IA49" s="695">
        <f t="shared" si="4"/>
        <v>0</v>
      </c>
      <c r="IB49" s="695">
        <f t="shared" si="4"/>
        <v>0</v>
      </c>
      <c r="IC49" s="695">
        <f t="shared" si="4"/>
        <v>0</v>
      </c>
      <c r="ID49" s="695">
        <f t="shared" si="4"/>
        <v>0</v>
      </c>
      <c r="IE49" s="695">
        <f t="shared" si="4"/>
        <v>0</v>
      </c>
      <c r="IF49" s="695">
        <f t="shared" si="4"/>
        <v>0</v>
      </c>
      <c r="IG49" s="695">
        <f t="shared" si="4"/>
        <v>0</v>
      </c>
      <c r="IH49" s="695">
        <f t="shared" si="4"/>
        <v>0</v>
      </c>
      <c r="II49" s="695">
        <f t="shared" si="4"/>
        <v>0</v>
      </c>
      <c r="IJ49" s="695">
        <f t="shared" si="4"/>
        <v>0</v>
      </c>
      <c r="IK49" s="695">
        <f t="shared" si="4"/>
        <v>0</v>
      </c>
      <c r="IL49" s="695">
        <f t="shared" si="4"/>
        <v>0</v>
      </c>
      <c r="IM49" s="695">
        <f t="shared" si="4"/>
        <v>0</v>
      </c>
      <c r="IN49" s="695">
        <f t="shared" si="4"/>
        <v>0</v>
      </c>
      <c r="IO49" s="695">
        <f t="shared" si="4"/>
        <v>0</v>
      </c>
      <c r="IP49" s="695">
        <f t="shared" si="4"/>
        <v>0</v>
      </c>
      <c r="IQ49" s="695">
        <f t="shared" si="4"/>
        <v>0</v>
      </c>
      <c r="IR49" s="695">
        <f t="shared" si="4"/>
        <v>0</v>
      </c>
      <c r="IS49" s="695">
        <f t="shared" si="4"/>
        <v>0</v>
      </c>
      <c r="IT49" s="695">
        <f t="shared" si="4"/>
        <v>0</v>
      </c>
      <c r="IU49" s="695">
        <f t="shared" si="4"/>
        <v>0</v>
      </c>
      <c r="IV49" s="695">
        <f t="shared" si="4"/>
        <v>0</v>
      </c>
    </row>
    <row r="50" spans="1:6" s="816" customFormat="1" ht="48" customHeight="1">
      <c r="A50" s="815">
        <v>12</v>
      </c>
      <c r="B50" s="1044" t="s">
        <v>519</v>
      </c>
      <c r="C50" s="1045"/>
      <c r="D50" s="505" t="s">
        <v>2</v>
      </c>
      <c r="E50" s="1043" t="str">
        <f>E43</f>
        <v>Baseline Year (Average of year1 to Year 3)</v>
      </c>
      <c r="F50" s="1043" t="str">
        <f>F43</f>
        <v>Current/Assessment /Target Year    (20__-20__)</v>
      </c>
    </row>
    <row r="51" spans="1:6" s="74" customFormat="1" ht="26.25" customHeight="1">
      <c r="A51" s="178" t="s">
        <v>124</v>
      </c>
      <c r="B51" s="762" t="s">
        <v>504</v>
      </c>
      <c r="C51" s="441" t="s">
        <v>505</v>
      </c>
      <c r="D51" s="90" t="s">
        <v>60</v>
      </c>
      <c r="E51" s="1038"/>
      <c r="F51" s="1039">
        <f>'NF-1 CU'!E26</f>
        <v>0</v>
      </c>
    </row>
    <row r="52" spans="1:6" s="74" customFormat="1" ht="14.25">
      <c r="A52" s="178" t="s">
        <v>126</v>
      </c>
      <c r="B52" s="762" t="s">
        <v>506</v>
      </c>
      <c r="C52" s="441" t="s">
        <v>511</v>
      </c>
      <c r="D52" s="90" t="s">
        <v>60</v>
      </c>
      <c r="E52" s="1038"/>
      <c r="F52" s="1039">
        <f>'NF-2 Fuel Quality in CPP'!F14</f>
        <v>0</v>
      </c>
    </row>
    <row r="53" spans="1:6" s="74" customFormat="1" ht="14.25">
      <c r="A53" s="178" t="s">
        <v>139</v>
      </c>
      <c r="B53" s="762" t="s">
        <v>507</v>
      </c>
      <c r="C53" s="441" t="s">
        <v>512</v>
      </c>
      <c r="D53" s="90" t="s">
        <v>60</v>
      </c>
      <c r="E53" s="1038"/>
      <c r="F53" s="1039">
        <f>'NF-3 Petcoke'!F14</f>
        <v>0</v>
      </c>
    </row>
    <row r="54" spans="1:6" s="74" customFormat="1" ht="14.25">
      <c r="A54" s="178" t="s">
        <v>127</v>
      </c>
      <c r="B54" s="762" t="s">
        <v>508</v>
      </c>
      <c r="C54" s="441" t="s">
        <v>513</v>
      </c>
      <c r="D54" s="90" t="s">
        <v>60</v>
      </c>
      <c r="E54" s="1038"/>
      <c r="F54" s="1039">
        <f>'NF-4 PLF'!F13</f>
        <v>0</v>
      </c>
    </row>
    <row r="55" spans="1:6" s="74" customFormat="1" ht="14.25">
      <c r="A55" s="178" t="s">
        <v>129</v>
      </c>
      <c r="B55" s="762" t="s">
        <v>509</v>
      </c>
      <c r="C55" s="441" t="s">
        <v>514</v>
      </c>
      <c r="D55" s="90" t="s">
        <v>60</v>
      </c>
      <c r="E55" s="1038"/>
      <c r="F55" s="1039">
        <f>'NF-5 Power Mix'!F49</f>
        <v>0</v>
      </c>
    </row>
    <row r="56" spans="1:6" s="74" customFormat="1" ht="14.25">
      <c r="A56" s="178" t="s">
        <v>131</v>
      </c>
      <c r="B56" s="62" t="s">
        <v>510</v>
      </c>
      <c r="C56" s="204" t="s">
        <v>515</v>
      </c>
      <c r="D56" s="181" t="s">
        <v>60</v>
      </c>
      <c r="E56" s="182"/>
      <c r="F56" s="183">
        <f>'NF-6 Product Mix'!F32</f>
        <v>0</v>
      </c>
    </row>
    <row r="57" spans="1:6" s="74" customFormat="1" ht="14.25">
      <c r="A57" s="178" t="s">
        <v>133</v>
      </c>
      <c r="B57" s="63" t="s">
        <v>792</v>
      </c>
      <c r="C57" s="204" t="s">
        <v>793</v>
      </c>
      <c r="D57" s="181" t="s">
        <v>60</v>
      </c>
      <c r="E57" s="182"/>
      <c r="F57" s="677">
        <f>'NF-7 Others'!F26-'NF-7 Others'!F25</f>
        <v>0</v>
      </c>
    </row>
    <row r="58" spans="1:6" s="74" customFormat="1" ht="25.5" customHeight="1">
      <c r="A58" s="178" t="s">
        <v>135</v>
      </c>
      <c r="B58" s="179" t="s">
        <v>157</v>
      </c>
      <c r="C58" s="180" t="s">
        <v>904</v>
      </c>
      <c r="D58" s="181" t="s">
        <v>60</v>
      </c>
      <c r="E58" s="182">
        <f>E47</f>
        <v>0</v>
      </c>
      <c r="F58" s="183">
        <f>F47-F51-F52-F53-F54-F55-F56-F57</f>
        <v>0</v>
      </c>
    </row>
    <row r="59" spans="1:6" s="206" customFormat="1" ht="28.5">
      <c r="A59" s="380">
        <v>13</v>
      </c>
      <c r="B59" s="381" t="s">
        <v>520</v>
      </c>
      <c r="C59" s="382" t="s">
        <v>1608</v>
      </c>
      <c r="D59" s="383" t="str">
        <f>IF($C$4="Clinkerization","kcal/kg of equivalent Clinker","kcal/kg of equivalent Cement")</f>
        <v>kcal/kg of equivalent Cement</v>
      </c>
      <c r="E59" s="383">
        <f>_xlfn.IFERROR(IF(C4="Clinkerization",E58/(E7*100),E58/(E38*100)),0)</f>
        <v>0</v>
      </c>
      <c r="F59" s="383">
        <f>_xlfn.IFERROR(IF(C4="Clinkerization",F58/(F7*100),F58/(F38*100)),0)</f>
        <v>0</v>
      </c>
    </row>
    <row r="60" spans="1:6" s="206" customFormat="1" ht="28.5">
      <c r="A60" s="380">
        <v>13.1</v>
      </c>
      <c r="B60" s="381" t="s">
        <v>520</v>
      </c>
      <c r="C60" s="382" t="s">
        <v>1258</v>
      </c>
      <c r="D60" s="383" t="str">
        <f>IF($C$4="Clinkerization","toe/tonne of equivalent Clinker","toe/tonne of equivalent Cement")</f>
        <v>toe/tonne of equivalent Cement</v>
      </c>
      <c r="E60" s="383">
        <f>E59/10000</f>
        <v>0</v>
      </c>
      <c r="F60" s="383">
        <f>F59/10000</f>
        <v>0</v>
      </c>
    </row>
    <row r="61" spans="1:6" s="206" customFormat="1" ht="28.5">
      <c r="A61" s="199">
        <v>14</v>
      </c>
      <c r="B61" s="256" t="s">
        <v>1620</v>
      </c>
      <c r="C61" s="378" t="s">
        <v>1623</v>
      </c>
      <c r="D61" s="779" t="str">
        <f>IF($C$4="Clinkerization","toe/tonne of equivalent Clinker","toe/tonne of equivalent Cement")</f>
        <v>toe/tonne of equivalent Cement</v>
      </c>
      <c r="E61" s="1047">
        <f>'Form-Sb'!H106</f>
        <v>0</v>
      </c>
      <c r="F61" s="379"/>
    </row>
    <row r="62" spans="1:6" s="206" customFormat="1" ht="28.5">
      <c r="A62" s="199">
        <v>14.1</v>
      </c>
      <c r="B62" s="256" t="s">
        <v>1621</v>
      </c>
      <c r="C62" s="378" t="s">
        <v>1622</v>
      </c>
      <c r="D62" s="779" t="str">
        <f>IF($C$4="Clinkerization","toe/tonne of equivalent Clinker","toe/tonne of equivalent Cement")</f>
        <v>toe/tonne of equivalent Cement</v>
      </c>
      <c r="E62" s="1047">
        <f>E60-E61</f>
        <v>0</v>
      </c>
      <c r="F62" s="379"/>
    </row>
    <row r="63" spans="1:6" s="386" customFormat="1" ht="28.5">
      <c r="A63" s="571">
        <v>15</v>
      </c>
      <c r="B63" s="377" t="s">
        <v>1179</v>
      </c>
      <c r="C63" s="378"/>
      <c r="D63" s="376" t="s">
        <v>234</v>
      </c>
      <c r="E63" s="379"/>
      <c r="F63" s="572">
        <f>'NF-7 Others'!F35</f>
        <v>0</v>
      </c>
    </row>
    <row r="64" spans="1:6" s="206" customFormat="1" ht="28.5">
      <c r="A64" s="573" t="s">
        <v>124</v>
      </c>
      <c r="B64" s="179" t="s">
        <v>1165</v>
      </c>
      <c r="C64" s="197"/>
      <c r="D64" s="199" t="s">
        <v>234</v>
      </c>
      <c r="E64" s="198"/>
      <c r="F64" s="574">
        <f>F58+F63</f>
        <v>0</v>
      </c>
    </row>
    <row r="65" spans="1:6" s="206" customFormat="1" ht="28.5">
      <c r="A65" s="575">
        <v>16</v>
      </c>
      <c r="B65" s="384" t="s">
        <v>1166</v>
      </c>
      <c r="C65" s="384"/>
      <c r="D65" s="385" t="str">
        <f>IF($C$4="Clinkerization","kcal/kg of equivalent Clinker","kcal/kg of equivalent Cement")</f>
        <v>kcal/kg of equivalent Cement</v>
      </c>
      <c r="E65" s="384"/>
      <c r="F65" s="576">
        <f>_xlfn.IFERROR(IF(C4="Clinkerization",F64/(F7*100),F64/(F38*100)),0)</f>
        <v>0</v>
      </c>
    </row>
    <row r="66" spans="1:6" s="206" customFormat="1" ht="28.5">
      <c r="A66" s="575">
        <v>17</v>
      </c>
      <c r="B66" s="384" t="s">
        <v>1166</v>
      </c>
      <c r="C66" s="384"/>
      <c r="D66" s="385" t="str">
        <f>IF($C$4="Clinkerization","toe/tonne of equivalent Clinker","toe/tonne of equivalent Cement")</f>
        <v>toe/tonne of equivalent Cement</v>
      </c>
      <c r="E66" s="384"/>
      <c r="F66" s="778">
        <f>(F65/10000)-E62</f>
        <v>0</v>
      </c>
    </row>
    <row r="67" spans="1:6" ht="14.25">
      <c r="A67" s="207"/>
      <c r="B67" s="82"/>
      <c r="C67" s="82"/>
      <c r="D67" s="208"/>
      <c r="E67" s="82"/>
      <c r="F67" s="55"/>
    </row>
    <row r="68" spans="1:6" ht="14.25" customHeight="1">
      <c r="A68" s="928" t="s">
        <v>1191</v>
      </c>
      <c r="B68" s="929"/>
      <c r="C68" s="929"/>
      <c r="D68" s="929"/>
      <c r="E68" s="929"/>
      <c r="F68" s="930"/>
    </row>
    <row r="69" spans="1:7" ht="14.25">
      <c r="A69" s="928"/>
      <c r="B69" s="929"/>
      <c r="C69" s="929"/>
      <c r="D69" s="929"/>
      <c r="E69" s="929"/>
      <c r="F69" s="930"/>
      <c r="G69" s="82"/>
    </row>
    <row r="70" spans="1:6" ht="14.25">
      <c r="A70" s="928"/>
      <c r="B70" s="929"/>
      <c r="C70" s="929"/>
      <c r="D70" s="929"/>
      <c r="E70" s="929"/>
      <c r="F70" s="930"/>
    </row>
    <row r="71" spans="1:6" ht="14.25">
      <c r="A71" s="928"/>
      <c r="B71" s="929"/>
      <c r="C71" s="929"/>
      <c r="D71" s="929"/>
      <c r="E71" s="929"/>
      <c r="F71" s="930"/>
    </row>
    <row r="72" spans="1:6" ht="14.25">
      <c r="A72" s="928"/>
      <c r="B72" s="929"/>
      <c r="C72" s="929"/>
      <c r="D72" s="929"/>
      <c r="E72" s="929"/>
      <c r="F72" s="930"/>
    </row>
    <row r="73" spans="1:6" ht="14.25">
      <c r="A73" s="209"/>
      <c r="B73" s="210"/>
      <c r="C73" s="211"/>
      <c r="D73" s="212"/>
      <c r="E73" s="211"/>
      <c r="F73" s="213"/>
    </row>
    <row r="74" spans="1:6" ht="14.25">
      <c r="A74" s="209"/>
      <c r="B74" s="210"/>
      <c r="C74" s="211"/>
      <c r="D74" s="210" t="s">
        <v>198</v>
      </c>
      <c r="E74" s="210"/>
      <c r="F74" s="214"/>
    </row>
    <row r="75" spans="1:6" ht="14.25">
      <c r="A75" s="209"/>
      <c r="B75" s="215" t="s">
        <v>199</v>
      </c>
      <c r="C75" s="211"/>
      <c r="D75" s="212"/>
      <c r="E75" s="211"/>
      <c r="F75" s="213"/>
    </row>
    <row r="76" spans="1:6" ht="14.25">
      <c r="A76" s="209"/>
      <c r="B76" s="215"/>
      <c r="C76" s="211"/>
      <c r="D76" s="212"/>
      <c r="E76" s="211"/>
      <c r="F76" s="213"/>
    </row>
    <row r="77" spans="1:6" ht="14.25">
      <c r="A77" s="209"/>
      <c r="B77" s="605" t="s">
        <v>200</v>
      </c>
      <c r="C77" s="211"/>
      <c r="D77" s="212"/>
      <c r="E77" s="211"/>
      <c r="F77" s="213"/>
    </row>
    <row r="78" spans="1:6" ht="15" thickBot="1">
      <c r="A78" s="216"/>
      <c r="B78" s="217"/>
      <c r="C78" s="217"/>
      <c r="D78" s="218"/>
      <c r="E78" s="217"/>
      <c r="F78" s="219"/>
    </row>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spans="1:6" ht="14.25" customHeight="1" hidden="1">
      <c r="A95" s="208"/>
      <c r="B95" s="82"/>
      <c r="C95" s="82"/>
      <c r="D95" s="208"/>
      <c r="E95" s="82"/>
      <c r="F95" s="82"/>
    </row>
    <row r="96" ht="14.25" customHeight="1" hidden="1"/>
    <row r="97" ht="14.25" customHeight="1" hidden="1"/>
    <row r="98" ht="14.25" customHeight="1" hidden="1"/>
    <row r="99" spans="1:4" ht="14.25" customHeight="1" hidden="1">
      <c r="A99" s="34"/>
      <c r="D99" s="34"/>
    </row>
    <row r="100" spans="1:4" ht="14.25" customHeight="1" hidden="1">
      <c r="A100" s="34"/>
      <c r="D100" s="34"/>
    </row>
    <row r="101" spans="1:4" ht="14.25" customHeight="1" hidden="1">
      <c r="A101" s="34"/>
      <c r="D101" s="34"/>
    </row>
    <row r="102" spans="1:4" ht="14.25" customHeight="1" hidden="1">
      <c r="A102" s="34"/>
      <c r="D102" s="34"/>
    </row>
    <row r="103" spans="1:4" ht="14.25" customHeight="1" hidden="1">
      <c r="A103" s="34"/>
      <c r="D103" s="34"/>
    </row>
    <row r="104" spans="1:4" ht="14.25" customHeight="1" hidden="1">
      <c r="A104" s="34"/>
      <c r="D104" s="34"/>
    </row>
    <row r="105" spans="1:4" ht="14.25" customHeight="1" hidden="1">
      <c r="A105" s="34"/>
      <c r="D105" s="34"/>
    </row>
    <row r="106" spans="1:4" ht="14.25" customHeight="1" hidden="1">
      <c r="A106" s="34"/>
      <c r="D106" s="34"/>
    </row>
    <row r="107" spans="1:4" ht="14.25" customHeight="1" hidden="1">
      <c r="A107" s="34"/>
      <c r="D107" s="34"/>
    </row>
    <row r="108" spans="1:4" ht="14.25" customHeight="1" hidden="1">
      <c r="A108" s="34"/>
      <c r="D108" s="34"/>
    </row>
    <row r="109" spans="1:4" ht="14.25" customHeight="1" hidden="1">
      <c r="A109" s="34"/>
      <c r="D109" s="34"/>
    </row>
    <row r="110" spans="1:4" ht="14.25" customHeight="1" hidden="1">
      <c r="A110" s="34"/>
      <c r="D110" s="34"/>
    </row>
    <row r="111" spans="1:4" ht="14.25" customHeight="1" hidden="1">
      <c r="A111" s="34"/>
      <c r="D111" s="34"/>
    </row>
    <row r="112" spans="1:4" ht="14.25" customHeight="1" hidden="1">
      <c r="A112" s="34"/>
      <c r="D112" s="34"/>
    </row>
    <row r="113" spans="1:4" ht="14.25" customHeight="1" hidden="1">
      <c r="A113" s="34"/>
      <c r="D113" s="34"/>
    </row>
    <row r="114" spans="1:4" ht="14.25" customHeight="1" hidden="1">
      <c r="A114" s="34"/>
      <c r="D114" s="34"/>
    </row>
    <row r="115" spans="1:4" ht="14.25" customHeight="1" hidden="1">
      <c r="A115" s="34"/>
      <c r="D115" s="34"/>
    </row>
    <row r="116" spans="1:4" ht="14.25" customHeight="1" hidden="1">
      <c r="A116" s="34"/>
      <c r="D116" s="34"/>
    </row>
    <row r="117" spans="1:4" ht="14.25" customHeight="1" hidden="1">
      <c r="A117" s="34"/>
      <c r="D117" s="34"/>
    </row>
    <row r="118" spans="1:4" ht="14.25" customHeight="1" hidden="1">
      <c r="A118" s="34"/>
      <c r="D118" s="34"/>
    </row>
    <row r="119" spans="1:4" ht="14.25" customHeight="1" hidden="1">
      <c r="A119" s="34"/>
      <c r="D119" s="34"/>
    </row>
    <row r="120" spans="1:4" ht="14.25" customHeight="1" hidden="1">
      <c r="A120" s="34"/>
      <c r="D120" s="34"/>
    </row>
    <row r="121" spans="1:4" ht="14.25" customHeight="1" hidden="1">
      <c r="A121" s="34"/>
      <c r="D121" s="34"/>
    </row>
    <row r="122" spans="1:4" ht="14.25" customHeight="1" hidden="1">
      <c r="A122" s="34"/>
      <c r="D122" s="34"/>
    </row>
    <row r="123" spans="1:4" ht="14.25" customHeight="1" hidden="1">
      <c r="A123" s="34"/>
      <c r="D123" s="34"/>
    </row>
    <row r="124" spans="1:4" ht="14.25" customHeight="1" hidden="1">
      <c r="A124" s="34"/>
      <c r="D124" s="34"/>
    </row>
    <row r="125" spans="1:4" ht="14.25" customHeight="1" hidden="1">
      <c r="A125" s="34"/>
      <c r="D125" s="34"/>
    </row>
    <row r="126" spans="1:4" ht="14.25" customHeight="1" hidden="1">
      <c r="A126" s="34"/>
      <c r="D126" s="34"/>
    </row>
    <row r="127" spans="1:4" ht="14.25" customHeight="1" hidden="1">
      <c r="A127" s="34"/>
      <c r="D127" s="34"/>
    </row>
    <row r="128" spans="1:4" ht="14.25">
      <c r="A128" s="34"/>
      <c r="D128" s="34"/>
    </row>
    <row r="129" spans="1:4" ht="14.25">
      <c r="A129" s="34"/>
      <c r="D129" s="34"/>
    </row>
    <row r="130" spans="1:4" ht="14.25">
      <c r="A130" s="34"/>
      <c r="D130" s="34"/>
    </row>
    <row r="131" spans="1:4" ht="14.25">
      <c r="A131" s="34"/>
      <c r="D131" s="34"/>
    </row>
    <row r="132" spans="1:4" ht="14.25">
      <c r="A132" s="34"/>
      <c r="D132" s="34"/>
    </row>
    <row r="133" spans="1:4" ht="14.25">
      <c r="A133" s="34"/>
      <c r="D133" s="34"/>
    </row>
    <row r="134" spans="1:4" ht="14.25">
      <c r="A134" s="34"/>
      <c r="D134" s="34"/>
    </row>
    <row r="135" spans="1:4" ht="14.25">
      <c r="A135" s="34"/>
      <c r="D135" s="34"/>
    </row>
    <row r="136" ht="14.25"/>
    <row r="137" ht="14.25"/>
    <row r="138" ht="14.25"/>
    <row r="139" ht="14.25"/>
    <row r="140" ht="14.25"/>
    <row r="141" ht="14.25"/>
    <row r="142" ht="14.25"/>
    <row r="143" ht="14.25"/>
    <row r="144" ht="14.25"/>
  </sheetData>
  <sheetProtection password="FABB" sheet="1"/>
  <mergeCells count="7">
    <mergeCell ref="A68:F72"/>
    <mergeCell ref="A2:F2"/>
    <mergeCell ref="A3:B3"/>
    <mergeCell ref="A1:F1"/>
    <mergeCell ref="B50:C50"/>
    <mergeCell ref="B43:C43"/>
    <mergeCell ref="A4:B4"/>
  </mergeCells>
  <printOptions/>
  <pageMargins left="0" right="0.11811023622047245" top="0.15748031496062992" bottom="0.5511811023622047" header="0.31496062992125984" footer="0.31496062992125984"/>
  <pageSetup horizontalDpi="600" verticalDpi="600" orientation="landscape" paperSize="9" scale="80" r:id="rId1"/>
  <headerFooter>
    <oddFooter>&amp;C&amp;P&amp;RNote: Not to be quoted and not to be published without prior permission</oddFooter>
  </headerFooter>
  <rowBreaks count="2" manualBreakCount="2">
    <brk id="37" max="5" man="1"/>
    <brk id="62" max="5" man="1"/>
  </rowBreaks>
</worksheet>
</file>

<file path=xl/worksheets/sheet7.xml><?xml version="1.0" encoding="utf-8"?>
<worksheet xmlns="http://schemas.openxmlformats.org/spreadsheetml/2006/main" xmlns:r="http://schemas.openxmlformats.org/officeDocument/2006/relationships">
  <dimension ref="A1:M29"/>
  <sheetViews>
    <sheetView zoomScale="86" zoomScaleNormal="86" zoomScalePageLayoutView="0" workbookViewId="0" topLeftCell="A1">
      <selection activeCell="A1" sqref="A1:IV16384"/>
    </sheetView>
  </sheetViews>
  <sheetFormatPr defaultColWidth="0" defaultRowHeight="15"/>
  <cols>
    <col min="1" max="1" width="8.8515625" style="1" customWidth="1"/>
    <col min="2" max="2" width="29.8515625" style="0" customWidth="1"/>
    <col min="3" max="3" width="15.421875" style="0" customWidth="1"/>
    <col min="4" max="4" width="16.421875" style="0" customWidth="1"/>
    <col min="5" max="5" width="13.8515625" style="0" bestFit="1" customWidth="1"/>
    <col min="6" max="6" width="11.7109375" style="1" customWidth="1"/>
    <col min="7" max="7" width="11.8515625" style="1" customWidth="1"/>
    <col min="8" max="8" width="11.28125" style="1" customWidth="1"/>
    <col min="9" max="9" width="10.8515625" style="1" customWidth="1"/>
    <col min="10" max="10" width="15.28125" style="1" customWidth="1"/>
    <col min="11" max="11" width="14.7109375" style="1" customWidth="1"/>
    <col min="12" max="12" width="20.7109375" style="0" customWidth="1"/>
    <col min="13" max="13" width="16.57421875" style="0" customWidth="1"/>
    <col min="14" max="15" width="8.8515625" style="0" hidden="1" customWidth="1"/>
    <col min="16" max="16" width="12.00390625" style="0" hidden="1" customWidth="1"/>
    <col min="17" max="16384" width="8.8515625" style="0" hidden="1" customWidth="1"/>
  </cols>
  <sheetData>
    <row r="1" spans="1:13" ht="25.5">
      <c r="A1" s="941" t="s">
        <v>1056</v>
      </c>
      <c r="B1" s="942"/>
      <c r="C1" s="942"/>
      <c r="D1" s="942"/>
      <c r="E1" s="942"/>
      <c r="F1" s="942"/>
      <c r="G1" s="942"/>
      <c r="H1" s="942"/>
      <c r="I1" s="942"/>
      <c r="J1" s="942"/>
      <c r="K1" s="942"/>
      <c r="L1" s="942"/>
      <c r="M1" s="942"/>
    </row>
    <row r="2" spans="1:13" ht="18" customHeight="1">
      <c r="A2" s="884" t="str">
        <f>CONCATENATE('General Information'!B3,F3)</f>
        <v>Name of the Unit</v>
      </c>
      <c r="B2" s="884"/>
      <c r="C2" s="884"/>
      <c r="D2" s="884"/>
      <c r="E2" s="951" t="str">
        <f>'Form-Sb'!C3</f>
        <v>  </v>
      </c>
      <c r="F2" s="951"/>
      <c r="G2" s="951"/>
      <c r="H2" s="951"/>
      <c r="I2" s="951"/>
      <c r="J2" s="951"/>
      <c r="K2" s="951"/>
      <c r="L2" s="951"/>
      <c r="M2" s="952"/>
    </row>
    <row r="3" spans="1:13" s="5" customFormat="1" ht="28.5">
      <c r="A3" s="948"/>
      <c r="B3" s="948"/>
      <c r="C3" s="948"/>
      <c r="D3" s="948"/>
      <c r="E3" s="948"/>
      <c r="F3" s="948"/>
      <c r="G3" s="948"/>
      <c r="H3" s="948"/>
      <c r="I3" s="949"/>
      <c r="J3" s="7" t="s">
        <v>1073</v>
      </c>
      <c r="K3" s="7" t="s">
        <v>1073</v>
      </c>
      <c r="L3" s="950"/>
      <c r="M3" s="949"/>
    </row>
    <row r="4" spans="1:13" s="9" customFormat="1" ht="42.75">
      <c r="A4" s="943" t="s">
        <v>638</v>
      </c>
      <c r="B4" s="943" t="s">
        <v>1042</v>
      </c>
      <c r="C4" s="412" t="s">
        <v>1181</v>
      </c>
      <c r="D4" s="943" t="s">
        <v>1043</v>
      </c>
      <c r="E4" s="8" t="s">
        <v>1063</v>
      </c>
      <c r="F4" s="7" t="s">
        <v>1068</v>
      </c>
      <c r="G4" s="7" t="s">
        <v>1069</v>
      </c>
      <c r="H4" s="7" t="s">
        <v>1044</v>
      </c>
      <c r="I4" s="7" t="s">
        <v>288</v>
      </c>
      <c r="J4" s="7" t="s">
        <v>1057</v>
      </c>
      <c r="K4" s="7" t="s">
        <v>1058</v>
      </c>
      <c r="L4" s="8" t="s">
        <v>162</v>
      </c>
      <c r="M4" s="943" t="s">
        <v>1198</v>
      </c>
    </row>
    <row r="5" spans="1:13" s="12" customFormat="1" ht="28.5">
      <c r="A5" s="944"/>
      <c r="B5" s="944"/>
      <c r="C5" s="413"/>
      <c r="D5" s="944"/>
      <c r="E5" s="11" t="s">
        <v>779</v>
      </c>
      <c r="F5" s="10" t="s">
        <v>24</v>
      </c>
      <c r="G5" s="7" t="s">
        <v>1046</v>
      </c>
      <c r="H5" s="10" t="s">
        <v>24</v>
      </c>
      <c r="I5" s="7" t="s">
        <v>1045</v>
      </c>
      <c r="J5" s="7" t="s">
        <v>1047</v>
      </c>
      <c r="K5" s="7" t="s">
        <v>1048</v>
      </c>
      <c r="L5" s="11"/>
      <c r="M5" s="944"/>
    </row>
    <row r="6" spans="1:13" ht="14.25">
      <c r="A6" s="565">
        <v>1</v>
      </c>
      <c r="B6" s="566"/>
      <c r="C6" s="566"/>
      <c r="D6" s="566"/>
      <c r="E6" s="566"/>
      <c r="F6" s="313"/>
      <c r="G6" s="313"/>
      <c r="H6" s="313"/>
      <c r="I6" s="313"/>
      <c r="J6" s="313"/>
      <c r="K6" s="313"/>
      <c r="L6" s="566"/>
      <c r="M6" s="566"/>
    </row>
    <row r="7" spans="1:13" ht="14.25">
      <c r="A7" s="565">
        <v>2</v>
      </c>
      <c r="B7" s="566"/>
      <c r="C7" s="566"/>
      <c r="D7" s="566"/>
      <c r="E7" s="566"/>
      <c r="F7" s="313"/>
      <c r="G7" s="313"/>
      <c r="H7" s="313"/>
      <c r="I7" s="313"/>
      <c r="J7" s="313"/>
      <c r="K7" s="313"/>
      <c r="L7" s="566"/>
      <c r="M7" s="566"/>
    </row>
    <row r="8" spans="1:13" ht="14.25">
      <c r="A8" s="565">
        <v>3</v>
      </c>
      <c r="B8" s="566"/>
      <c r="C8" s="566"/>
      <c r="D8" s="566"/>
      <c r="E8" s="566"/>
      <c r="F8" s="313"/>
      <c r="G8" s="313"/>
      <c r="H8" s="313"/>
      <c r="I8" s="313"/>
      <c r="J8" s="313"/>
      <c r="K8" s="313"/>
      <c r="L8" s="566"/>
      <c r="M8" s="566"/>
    </row>
    <row r="9" spans="1:13" ht="14.25">
      <c r="A9" s="565">
        <v>4</v>
      </c>
      <c r="B9" s="566"/>
      <c r="C9" s="566"/>
      <c r="D9" s="566"/>
      <c r="E9" s="566"/>
      <c r="F9" s="313"/>
      <c r="G9" s="313"/>
      <c r="H9" s="313"/>
      <c r="I9" s="313"/>
      <c r="J9" s="313"/>
      <c r="K9" s="313"/>
      <c r="L9" s="566"/>
      <c r="M9" s="566"/>
    </row>
    <row r="10" spans="1:13" ht="14.25">
      <c r="A10" s="565">
        <v>5</v>
      </c>
      <c r="B10" s="566"/>
      <c r="C10" s="566"/>
      <c r="D10" s="566"/>
      <c r="E10" s="566"/>
      <c r="F10" s="313"/>
      <c r="G10" s="313"/>
      <c r="H10" s="313"/>
      <c r="I10" s="313"/>
      <c r="J10" s="313"/>
      <c r="K10" s="313"/>
      <c r="L10" s="566"/>
      <c r="M10" s="566"/>
    </row>
    <row r="11" spans="1:13" ht="14.25">
      <c r="A11" s="565">
        <v>6</v>
      </c>
      <c r="B11" s="566"/>
      <c r="C11" s="566"/>
      <c r="D11" s="566"/>
      <c r="E11" s="566"/>
      <c r="F11" s="313"/>
      <c r="G11" s="313"/>
      <c r="H11" s="313"/>
      <c r="I11" s="313"/>
      <c r="J11" s="313"/>
      <c r="K11" s="313"/>
      <c r="L11" s="566"/>
      <c r="M11" s="566"/>
    </row>
    <row r="12" spans="1:13" ht="14.25">
      <c r="A12" s="565">
        <v>7</v>
      </c>
      <c r="B12" s="566"/>
      <c r="C12" s="566"/>
      <c r="D12" s="566"/>
      <c r="E12" s="566"/>
      <c r="F12" s="313"/>
      <c r="G12" s="313"/>
      <c r="H12" s="313"/>
      <c r="I12" s="313"/>
      <c r="J12" s="313"/>
      <c r="K12" s="313"/>
      <c r="L12" s="566"/>
      <c r="M12" s="566"/>
    </row>
    <row r="13" spans="1:13" ht="14.25">
      <c r="A13" s="565">
        <v>8</v>
      </c>
      <c r="B13" s="566"/>
      <c r="C13" s="566"/>
      <c r="D13" s="566"/>
      <c r="E13" s="566"/>
      <c r="F13" s="313"/>
      <c r="G13" s="313"/>
      <c r="H13" s="313"/>
      <c r="I13" s="313"/>
      <c r="J13" s="313"/>
      <c r="K13" s="313"/>
      <c r="L13" s="566"/>
      <c r="M13" s="566"/>
    </row>
    <row r="14" spans="1:13" ht="14.25">
      <c r="A14" s="565">
        <v>9</v>
      </c>
      <c r="B14" s="566"/>
      <c r="C14" s="566"/>
      <c r="D14" s="566"/>
      <c r="E14" s="566"/>
      <c r="F14" s="313"/>
      <c r="G14" s="313"/>
      <c r="H14" s="313"/>
      <c r="I14" s="313"/>
      <c r="J14" s="313"/>
      <c r="K14" s="313"/>
      <c r="L14" s="566"/>
      <c r="M14" s="566"/>
    </row>
    <row r="15" spans="1:13" ht="14.25">
      <c r="A15" s="565">
        <v>10</v>
      </c>
      <c r="B15" s="566"/>
      <c r="C15" s="566"/>
      <c r="D15" s="566"/>
      <c r="E15" s="566"/>
      <c r="F15" s="313"/>
      <c r="G15" s="313"/>
      <c r="H15" s="313"/>
      <c r="I15" s="313"/>
      <c r="J15" s="313"/>
      <c r="K15" s="313"/>
      <c r="L15" s="566"/>
      <c r="M15" s="566"/>
    </row>
    <row r="16" spans="1:13" ht="14.25">
      <c r="A16" s="565">
        <v>11</v>
      </c>
      <c r="B16" s="566"/>
      <c r="C16" s="566"/>
      <c r="D16" s="566"/>
      <c r="E16" s="566"/>
      <c r="F16" s="313"/>
      <c r="G16" s="313"/>
      <c r="H16" s="313"/>
      <c r="I16" s="313"/>
      <c r="J16" s="313"/>
      <c r="K16" s="313"/>
      <c r="L16" s="566"/>
      <c r="M16" s="566"/>
    </row>
    <row r="17" spans="1:13" ht="14.25">
      <c r="A17" s="565">
        <v>12</v>
      </c>
      <c r="B17" s="566"/>
      <c r="C17" s="566"/>
      <c r="D17" s="566"/>
      <c r="E17" s="566"/>
      <c r="F17" s="313"/>
      <c r="G17" s="313"/>
      <c r="H17" s="313"/>
      <c r="I17" s="313"/>
      <c r="J17" s="313"/>
      <c r="K17" s="313"/>
      <c r="L17" s="566"/>
      <c r="M17" s="566"/>
    </row>
    <row r="18" spans="1:13" ht="14.25">
      <c r="A18" s="565">
        <v>13</v>
      </c>
      <c r="B18" s="566"/>
      <c r="C18" s="566"/>
      <c r="D18" s="566"/>
      <c r="E18" s="566"/>
      <c r="F18" s="313"/>
      <c r="G18" s="313"/>
      <c r="H18" s="313"/>
      <c r="I18" s="313"/>
      <c r="J18" s="313"/>
      <c r="K18" s="313"/>
      <c r="L18" s="566"/>
      <c r="M18" s="566"/>
    </row>
    <row r="19" spans="1:13" ht="14.25">
      <c r="A19" s="565">
        <v>14</v>
      </c>
      <c r="B19" s="566"/>
      <c r="C19" s="566"/>
      <c r="D19" s="566"/>
      <c r="E19" s="566"/>
      <c r="F19" s="313"/>
      <c r="G19" s="313"/>
      <c r="H19" s="313"/>
      <c r="I19" s="313"/>
      <c r="J19" s="313"/>
      <c r="K19" s="313"/>
      <c r="L19" s="566"/>
      <c r="M19" s="566"/>
    </row>
    <row r="20" spans="1:13" ht="14.25">
      <c r="A20" s="565">
        <v>15</v>
      </c>
      <c r="B20" s="566"/>
      <c r="C20" s="566"/>
      <c r="D20" s="566"/>
      <c r="E20" s="566"/>
      <c r="F20" s="313"/>
      <c r="G20" s="313"/>
      <c r="H20" s="313"/>
      <c r="I20" s="313"/>
      <c r="J20" s="313"/>
      <c r="K20" s="313"/>
      <c r="L20" s="566"/>
      <c r="M20" s="566"/>
    </row>
    <row r="21" spans="1:13" ht="14.25">
      <c r="A21" s="565">
        <v>16</v>
      </c>
      <c r="B21" s="566"/>
      <c r="C21" s="566"/>
      <c r="D21" s="566"/>
      <c r="E21" s="566"/>
      <c r="F21" s="313"/>
      <c r="G21" s="313"/>
      <c r="H21" s="313"/>
      <c r="I21" s="313"/>
      <c r="J21" s="313"/>
      <c r="K21" s="313"/>
      <c r="L21" s="566"/>
      <c r="M21" s="566"/>
    </row>
    <row r="22" spans="1:13" ht="14.25">
      <c r="A22" s="565">
        <v>17</v>
      </c>
      <c r="B22" s="566"/>
      <c r="C22" s="566"/>
      <c r="D22" s="566"/>
      <c r="E22" s="566"/>
      <c r="F22" s="313"/>
      <c r="G22" s="313"/>
      <c r="H22" s="313"/>
      <c r="I22" s="313"/>
      <c r="J22" s="313"/>
      <c r="K22" s="313"/>
      <c r="L22" s="566"/>
      <c r="M22" s="566"/>
    </row>
    <row r="23" spans="1:13" ht="14.25">
      <c r="A23" s="565">
        <v>18</v>
      </c>
      <c r="B23" s="566"/>
      <c r="C23" s="566"/>
      <c r="D23" s="566"/>
      <c r="E23" s="566"/>
      <c r="F23" s="313"/>
      <c r="G23" s="313"/>
      <c r="H23" s="313"/>
      <c r="I23" s="313"/>
      <c r="J23" s="313"/>
      <c r="K23" s="313"/>
      <c r="L23" s="566"/>
      <c r="M23" s="566"/>
    </row>
    <row r="24" spans="1:13" ht="14.25">
      <c r="A24" s="565">
        <v>19</v>
      </c>
      <c r="B24" s="566"/>
      <c r="C24" s="566"/>
      <c r="D24" s="566"/>
      <c r="E24" s="566"/>
      <c r="F24" s="313"/>
      <c r="G24" s="313"/>
      <c r="H24" s="313"/>
      <c r="I24" s="313"/>
      <c r="J24" s="313"/>
      <c r="K24" s="313"/>
      <c r="L24" s="566"/>
      <c r="M24" s="566"/>
    </row>
    <row r="25" spans="1:13" ht="14.25">
      <c r="A25" s="565">
        <v>20</v>
      </c>
      <c r="B25" s="566"/>
      <c r="C25" s="566"/>
      <c r="D25" s="566"/>
      <c r="E25" s="566"/>
      <c r="F25" s="313"/>
      <c r="G25" s="313"/>
      <c r="H25" s="313"/>
      <c r="I25" s="313"/>
      <c r="J25" s="313"/>
      <c r="K25" s="313"/>
      <c r="L25" s="566"/>
      <c r="M25" s="566"/>
    </row>
    <row r="26" spans="1:13" ht="14.25">
      <c r="A26" s="565">
        <v>21</v>
      </c>
      <c r="B26" s="566"/>
      <c r="C26" s="566"/>
      <c r="D26" s="566"/>
      <c r="E26" s="566"/>
      <c r="F26" s="313"/>
      <c r="G26" s="313"/>
      <c r="H26" s="313"/>
      <c r="I26" s="313"/>
      <c r="J26" s="313"/>
      <c r="K26" s="313"/>
      <c r="L26" s="566"/>
      <c r="M26" s="566"/>
    </row>
    <row r="27" spans="1:13" ht="14.25">
      <c r="A27" s="945" t="s">
        <v>1070</v>
      </c>
      <c r="B27" s="946"/>
      <c r="C27" s="946"/>
      <c r="D27" s="946"/>
      <c r="E27" s="947"/>
      <c r="F27" s="261">
        <f aca="true" t="shared" si="0" ref="F27:K27">SUM(F6:F26)</f>
        <v>0</v>
      </c>
      <c r="G27" s="261">
        <f t="shared" si="0"/>
        <v>0</v>
      </c>
      <c r="H27" s="261">
        <f t="shared" si="0"/>
        <v>0</v>
      </c>
      <c r="I27" s="261">
        <f t="shared" si="0"/>
        <v>0</v>
      </c>
      <c r="J27" s="261">
        <f t="shared" si="0"/>
        <v>0</v>
      </c>
      <c r="K27" s="261">
        <f t="shared" si="0"/>
        <v>0</v>
      </c>
      <c r="L27" s="260"/>
      <c r="M27" s="260"/>
    </row>
    <row r="28" spans="1:2" ht="14.25">
      <c r="A28" s="1" t="s">
        <v>1059</v>
      </c>
      <c r="B28" t="s">
        <v>1062</v>
      </c>
    </row>
    <row r="29" spans="1:2" ht="14.25">
      <c r="A29" s="1" t="s">
        <v>1060</v>
      </c>
      <c r="B29" t="s">
        <v>1061</v>
      </c>
    </row>
  </sheetData>
  <sheetProtection password="FABB" sheet="1" formatCells="0" formatColumns="0" formatRows="0" insertRows="0"/>
  <mergeCells count="10">
    <mergeCell ref="A1:M1"/>
    <mergeCell ref="A4:A5"/>
    <mergeCell ref="B4:B5"/>
    <mergeCell ref="D4:D5"/>
    <mergeCell ref="A27:E27"/>
    <mergeCell ref="A3:I3"/>
    <mergeCell ref="L3:M3"/>
    <mergeCell ref="A2:D2"/>
    <mergeCell ref="E2:M2"/>
    <mergeCell ref="M4:M5"/>
  </mergeCells>
  <dataValidations count="1">
    <dataValidation type="decimal" operator="greaterThan" showErrorMessage="1" promptTitle="Numeric Input" prompt="Please enter numeric values or leave blank" errorTitle="Text Alert" error="Please do not enter text" sqref="F6:K26">
      <formula1>-1</formula1>
    </dataValidation>
  </dataValidations>
  <printOptions/>
  <pageMargins left="0.31496062992125984" right="0.31496062992125984" top="0.15748031496062992" bottom="0.35433070866141736" header="0.31496062992125984" footer="0.31496062992125984"/>
  <pageSetup orientation="landscape" paperSize="9" scale="71" r:id="rId1"/>
  <headerFooter>
    <oddFooter>&amp;C&amp;P&amp;RNote: Not to be quoted and not to be published without prior permission</oddFooter>
  </headerFooter>
</worksheet>
</file>

<file path=xl/worksheets/sheet8.xml><?xml version="1.0" encoding="utf-8"?>
<worksheet xmlns="http://schemas.openxmlformats.org/spreadsheetml/2006/main" xmlns:r="http://schemas.openxmlformats.org/officeDocument/2006/relationships">
  <dimension ref="A1:N29"/>
  <sheetViews>
    <sheetView zoomScale="70" zoomScaleNormal="70" zoomScalePageLayoutView="0" workbookViewId="0" topLeftCell="A1">
      <selection activeCell="A1" sqref="A1:IV16384"/>
    </sheetView>
  </sheetViews>
  <sheetFormatPr defaultColWidth="0" defaultRowHeight="15"/>
  <cols>
    <col min="1" max="1" width="8.8515625" style="1" customWidth="1"/>
    <col min="2" max="2" width="24.8515625" style="0" customWidth="1"/>
    <col min="3" max="3" width="15.00390625" style="0" customWidth="1"/>
    <col min="4" max="5" width="18.7109375" style="0" customWidth="1"/>
    <col min="6" max="6" width="13.8515625" style="0" bestFit="1" customWidth="1"/>
    <col min="7" max="7" width="11.7109375" style="1" customWidth="1"/>
    <col min="8" max="8" width="11.8515625" style="1" customWidth="1"/>
    <col min="9" max="9" width="11.28125" style="1" customWidth="1"/>
    <col min="10" max="10" width="10.8515625" style="1" customWidth="1"/>
    <col min="11" max="11" width="15.28125" style="1" customWidth="1"/>
    <col min="12" max="12" width="14.7109375" style="1" customWidth="1"/>
    <col min="13" max="13" width="22.8515625" style="0" customWidth="1"/>
    <col min="14" max="14" width="20.7109375" style="0" customWidth="1"/>
    <col min="15" max="16" width="8.8515625" style="0" hidden="1" customWidth="1"/>
    <col min="17" max="17" width="12.00390625" style="0" hidden="1" customWidth="1"/>
    <col min="18" max="16384" width="8.8515625" style="0" hidden="1" customWidth="1"/>
  </cols>
  <sheetData>
    <row r="1" spans="1:14" ht="25.5">
      <c r="A1" s="941" t="s">
        <v>1075</v>
      </c>
      <c r="B1" s="942"/>
      <c r="C1" s="942"/>
      <c r="D1" s="942"/>
      <c r="E1" s="942"/>
      <c r="F1" s="942"/>
      <c r="G1" s="942"/>
      <c r="H1" s="942"/>
      <c r="I1" s="942"/>
      <c r="J1" s="942"/>
      <c r="K1" s="942"/>
      <c r="L1" s="942"/>
      <c r="M1" s="942"/>
      <c r="N1" s="942"/>
    </row>
    <row r="2" spans="1:14" s="285" customFormat="1" ht="27" customHeight="1">
      <c r="A2" s="884" t="str">
        <f>CONCATENATE('General Information'!B3,F3)</f>
        <v>Name of the Unit</v>
      </c>
      <c r="B2" s="884"/>
      <c r="C2" s="884"/>
      <c r="D2" s="884"/>
      <c r="E2" s="953" t="str">
        <f>'Form-Sb'!C3</f>
        <v>  </v>
      </c>
      <c r="F2" s="951"/>
      <c r="G2" s="951"/>
      <c r="H2" s="951"/>
      <c r="I2" s="951"/>
      <c r="J2" s="951"/>
      <c r="K2" s="951"/>
      <c r="L2" s="951"/>
      <c r="M2" s="951"/>
      <c r="N2" s="951"/>
    </row>
    <row r="3" spans="1:14" s="5" customFormat="1" ht="28.5">
      <c r="A3" s="948"/>
      <c r="B3" s="948"/>
      <c r="C3" s="948"/>
      <c r="D3" s="948"/>
      <c r="E3" s="948"/>
      <c r="F3" s="948"/>
      <c r="G3" s="948"/>
      <c r="H3" s="948"/>
      <c r="I3" s="948"/>
      <c r="J3" s="949"/>
      <c r="K3" s="7" t="s">
        <v>1073</v>
      </c>
      <c r="L3" s="7" t="s">
        <v>1073</v>
      </c>
      <c r="M3" s="950"/>
      <c r="N3" s="948"/>
    </row>
    <row r="4" spans="1:14" s="9" customFormat="1" ht="42.75">
      <c r="A4" s="943" t="s">
        <v>638</v>
      </c>
      <c r="B4" s="943" t="s">
        <v>1042</v>
      </c>
      <c r="C4" s="283" t="s">
        <v>1181</v>
      </c>
      <c r="D4" s="943" t="s">
        <v>1043</v>
      </c>
      <c r="E4" s="7" t="s">
        <v>1074</v>
      </c>
      <c r="F4" s="7" t="s">
        <v>1063</v>
      </c>
      <c r="G4" s="7" t="s">
        <v>1068</v>
      </c>
      <c r="H4" s="7" t="s">
        <v>1069</v>
      </c>
      <c r="I4" s="7" t="s">
        <v>1044</v>
      </c>
      <c r="J4" s="7" t="s">
        <v>288</v>
      </c>
      <c r="K4" s="7" t="s">
        <v>1057</v>
      </c>
      <c r="L4" s="7" t="s">
        <v>1058</v>
      </c>
      <c r="M4" s="8" t="s">
        <v>162</v>
      </c>
      <c r="N4" s="8" t="s">
        <v>729</v>
      </c>
    </row>
    <row r="5" spans="1:14" s="12" customFormat="1" ht="28.5">
      <c r="A5" s="944"/>
      <c r="B5" s="944"/>
      <c r="C5" s="284"/>
      <c r="D5" s="944"/>
      <c r="E5" s="10" t="s">
        <v>779</v>
      </c>
      <c r="F5" s="10" t="s">
        <v>779</v>
      </c>
      <c r="G5" s="10" t="s">
        <v>24</v>
      </c>
      <c r="H5" s="7" t="s">
        <v>1046</v>
      </c>
      <c r="I5" s="10" t="s">
        <v>24</v>
      </c>
      <c r="J5" s="7" t="s">
        <v>1045</v>
      </c>
      <c r="K5" s="7" t="s">
        <v>1047</v>
      </c>
      <c r="L5" s="7" t="s">
        <v>1048</v>
      </c>
      <c r="M5" s="11"/>
      <c r="N5" s="11"/>
    </row>
    <row r="6" spans="1:14" s="567" customFormat="1" ht="14.25">
      <c r="A6" s="568">
        <v>1</v>
      </c>
      <c r="B6" s="569"/>
      <c r="C6" s="569"/>
      <c r="D6" s="569"/>
      <c r="E6" s="569"/>
      <c r="F6" s="569"/>
      <c r="G6" s="313"/>
      <c r="H6" s="313"/>
      <c r="I6" s="313"/>
      <c r="J6" s="313"/>
      <c r="K6" s="313"/>
      <c r="L6" s="313"/>
      <c r="M6" s="570"/>
      <c r="N6" s="569"/>
    </row>
    <row r="7" spans="1:14" s="567" customFormat="1" ht="14.25">
      <c r="A7" s="568">
        <v>2</v>
      </c>
      <c r="B7" s="569"/>
      <c r="C7" s="569"/>
      <c r="D7" s="569"/>
      <c r="E7" s="569"/>
      <c r="F7" s="569"/>
      <c r="G7" s="313"/>
      <c r="H7" s="313"/>
      <c r="I7" s="313"/>
      <c r="J7" s="313"/>
      <c r="K7" s="313"/>
      <c r="L7" s="313"/>
      <c r="M7" s="569"/>
      <c r="N7" s="569"/>
    </row>
    <row r="8" spans="1:14" s="567" customFormat="1" ht="14.25">
      <c r="A8" s="568">
        <v>3</v>
      </c>
      <c r="B8" s="569"/>
      <c r="C8" s="569"/>
      <c r="D8" s="569"/>
      <c r="E8" s="569"/>
      <c r="F8" s="569"/>
      <c r="G8" s="313"/>
      <c r="H8" s="313"/>
      <c r="I8" s="313"/>
      <c r="J8" s="313"/>
      <c r="K8" s="313"/>
      <c r="L8" s="313"/>
      <c r="M8" s="569"/>
      <c r="N8" s="569"/>
    </row>
    <row r="9" spans="1:14" s="567" customFormat="1" ht="14.25">
      <c r="A9" s="568">
        <v>4</v>
      </c>
      <c r="B9" s="569"/>
      <c r="C9" s="569"/>
      <c r="D9" s="569"/>
      <c r="E9" s="569"/>
      <c r="F9" s="569"/>
      <c r="G9" s="313"/>
      <c r="H9" s="313"/>
      <c r="I9" s="313"/>
      <c r="J9" s="313"/>
      <c r="K9" s="313"/>
      <c r="L9" s="313"/>
      <c r="M9" s="569"/>
      <c r="N9" s="569"/>
    </row>
    <row r="10" spans="1:14" s="567" customFormat="1" ht="14.25">
      <c r="A10" s="568">
        <v>5</v>
      </c>
      <c r="B10" s="569"/>
      <c r="C10" s="569"/>
      <c r="D10" s="569"/>
      <c r="E10" s="569"/>
      <c r="F10" s="569"/>
      <c r="G10" s="313"/>
      <c r="H10" s="313"/>
      <c r="I10" s="313"/>
      <c r="J10" s="313"/>
      <c r="K10" s="313"/>
      <c r="L10" s="313"/>
      <c r="M10" s="569"/>
      <c r="N10" s="569"/>
    </row>
    <row r="11" spans="1:14" s="567" customFormat="1" ht="14.25">
      <c r="A11" s="568">
        <v>6</v>
      </c>
      <c r="B11" s="569"/>
      <c r="C11" s="569"/>
      <c r="D11" s="569"/>
      <c r="E11" s="569"/>
      <c r="F11" s="569"/>
      <c r="G11" s="313"/>
      <c r="H11" s="313"/>
      <c r="I11" s="313"/>
      <c r="J11" s="313"/>
      <c r="K11" s="313"/>
      <c r="L11" s="313"/>
      <c r="M11" s="569"/>
      <c r="N11" s="569"/>
    </row>
    <row r="12" spans="1:14" s="567" customFormat="1" ht="14.25">
      <c r="A12" s="568">
        <v>7</v>
      </c>
      <c r="B12" s="569"/>
      <c r="C12" s="569"/>
      <c r="D12" s="569"/>
      <c r="E12" s="569"/>
      <c r="F12" s="569"/>
      <c r="G12" s="313"/>
      <c r="H12" s="313"/>
      <c r="I12" s="313"/>
      <c r="J12" s="313"/>
      <c r="K12" s="313"/>
      <c r="L12" s="313"/>
      <c r="M12" s="569"/>
      <c r="N12" s="569"/>
    </row>
    <row r="13" spans="1:14" s="567" customFormat="1" ht="14.25">
      <c r="A13" s="568">
        <v>8</v>
      </c>
      <c r="B13" s="569"/>
      <c r="C13" s="569"/>
      <c r="D13" s="569"/>
      <c r="E13" s="569"/>
      <c r="F13" s="569"/>
      <c r="G13" s="313"/>
      <c r="H13" s="313"/>
      <c r="I13" s="313"/>
      <c r="J13" s="313"/>
      <c r="K13" s="313"/>
      <c r="L13" s="313"/>
      <c r="M13" s="569"/>
      <c r="N13" s="569"/>
    </row>
    <row r="14" spans="1:14" s="567" customFormat="1" ht="14.25">
      <c r="A14" s="568">
        <v>9</v>
      </c>
      <c r="B14" s="569"/>
      <c r="C14" s="569"/>
      <c r="D14" s="569"/>
      <c r="E14" s="569"/>
      <c r="F14" s="569"/>
      <c r="G14" s="313"/>
      <c r="H14" s="313"/>
      <c r="I14" s="313"/>
      <c r="J14" s="313"/>
      <c r="K14" s="313"/>
      <c r="L14" s="313"/>
      <c r="M14" s="569"/>
      <c r="N14" s="569"/>
    </row>
    <row r="15" spans="1:14" s="567" customFormat="1" ht="14.25">
      <c r="A15" s="568">
        <v>10</v>
      </c>
      <c r="B15" s="569"/>
      <c r="C15" s="569"/>
      <c r="D15" s="569"/>
      <c r="E15" s="569"/>
      <c r="F15" s="569"/>
      <c r="G15" s="313"/>
      <c r="H15" s="313"/>
      <c r="I15" s="313"/>
      <c r="J15" s="313"/>
      <c r="K15" s="313"/>
      <c r="L15" s="313"/>
      <c r="M15" s="569"/>
      <c r="N15" s="569"/>
    </row>
    <row r="16" spans="1:14" s="567" customFormat="1" ht="14.25">
      <c r="A16" s="568">
        <v>11</v>
      </c>
      <c r="B16" s="569"/>
      <c r="C16" s="569"/>
      <c r="D16" s="569"/>
      <c r="E16" s="569"/>
      <c r="F16" s="569"/>
      <c r="G16" s="313"/>
      <c r="H16" s="313"/>
      <c r="I16" s="313"/>
      <c r="J16" s="313"/>
      <c r="K16" s="313"/>
      <c r="L16" s="313"/>
      <c r="M16" s="569"/>
      <c r="N16" s="569"/>
    </row>
    <row r="17" spans="1:14" s="567" customFormat="1" ht="14.25">
      <c r="A17" s="568">
        <v>12</v>
      </c>
      <c r="B17" s="569"/>
      <c r="C17" s="569"/>
      <c r="D17" s="569"/>
      <c r="E17" s="569"/>
      <c r="F17" s="569"/>
      <c r="G17" s="313"/>
      <c r="H17" s="313"/>
      <c r="I17" s="313"/>
      <c r="J17" s="313"/>
      <c r="K17" s="313"/>
      <c r="L17" s="313"/>
      <c r="M17" s="569"/>
      <c r="N17" s="569"/>
    </row>
    <row r="18" spans="1:14" s="567" customFormat="1" ht="14.25">
      <c r="A18" s="568">
        <v>13</v>
      </c>
      <c r="B18" s="569"/>
      <c r="C18" s="569"/>
      <c r="D18" s="569"/>
      <c r="E18" s="569"/>
      <c r="F18" s="569"/>
      <c r="G18" s="313"/>
      <c r="H18" s="313"/>
      <c r="I18" s="313"/>
      <c r="J18" s="313"/>
      <c r="K18" s="313"/>
      <c r="L18" s="313"/>
      <c r="M18" s="569"/>
      <c r="N18" s="569"/>
    </row>
    <row r="19" spans="1:14" s="567" customFormat="1" ht="14.25">
      <c r="A19" s="568">
        <v>14</v>
      </c>
      <c r="B19" s="569"/>
      <c r="C19" s="569"/>
      <c r="D19" s="569"/>
      <c r="E19" s="569"/>
      <c r="F19" s="569"/>
      <c r="G19" s="313"/>
      <c r="H19" s="313"/>
      <c r="I19" s="313"/>
      <c r="J19" s="313"/>
      <c r="K19" s="313"/>
      <c r="L19" s="313"/>
      <c r="M19" s="569"/>
      <c r="N19" s="569"/>
    </row>
    <row r="20" spans="1:14" s="567" customFormat="1" ht="14.25">
      <c r="A20" s="568">
        <v>15</v>
      </c>
      <c r="B20" s="569"/>
      <c r="C20" s="569"/>
      <c r="D20" s="569"/>
      <c r="E20" s="569"/>
      <c r="F20" s="569"/>
      <c r="G20" s="313"/>
      <c r="H20" s="313"/>
      <c r="I20" s="313"/>
      <c r="J20" s="313"/>
      <c r="K20" s="313"/>
      <c r="L20" s="313"/>
      <c r="M20" s="569"/>
      <c r="N20" s="569"/>
    </row>
    <row r="21" spans="1:14" s="567" customFormat="1" ht="14.25">
      <c r="A21" s="568">
        <v>16</v>
      </c>
      <c r="B21" s="569"/>
      <c r="C21" s="569"/>
      <c r="D21" s="569"/>
      <c r="E21" s="569"/>
      <c r="F21" s="569"/>
      <c r="G21" s="313"/>
      <c r="H21" s="313"/>
      <c r="I21" s="313"/>
      <c r="J21" s="313"/>
      <c r="K21" s="313"/>
      <c r="L21" s="313"/>
      <c r="M21" s="569"/>
      <c r="N21" s="569"/>
    </row>
    <row r="22" spans="1:14" s="567" customFormat="1" ht="14.25">
      <c r="A22" s="568">
        <v>17</v>
      </c>
      <c r="B22" s="569"/>
      <c r="C22" s="569"/>
      <c r="D22" s="569"/>
      <c r="E22" s="569"/>
      <c r="F22" s="569"/>
      <c r="G22" s="313"/>
      <c r="H22" s="313"/>
      <c r="I22" s="313"/>
      <c r="J22" s="313"/>
      <c r="K22" s="313"/>
      <c r="L22" s="313"/>
      <c r="M22" s="569"/>
      <c r="N22" s="569"/>
    </row>
    <row r="23" spans="1:14" s="567" customFormat="1" ht="14.25">
      <c r="A23" s="568">
        <v>18</v>
      </c>
      <c r="B23" s="569"/>
      <c r="C23" s="569"/>
      <c r="D23" s="569"/>
      <c r="E23" s="569"/>
      <c r="F23" s="569"/>
      <c r="G23" s="313"/>
      <c r="H23" s="313"/>
      <c r="I23" s="313"/>
      <c r="J23" s="313"/>
      <c r="K23" s="313"/>
      <c r="L23" s="313"/>
      <c r="M23" s="569"/>
      <c r="N23" s="569"/>
    </row>
    <row r="24" spans="1:14" s="567" customFormat="1" ht="14.25">
      <c r="A24" s="568">
        <v>19</v>
      </c>
      <c r="B24" s="569"/>
      <c r="C24" s="569"/>
      <c r="D24" s="569"/>
      <c r="E24" s="569"/>
      <c r="F24" s="569"/>
      <c r="G24" s="313"/>
      <c r="H24" s="313"/>
      <c r="I24" s="313"/>
      <c r="J24" s="313"/>
      <c r="K24" s="313"/>
      <c r="L24" s="313"/>
      <c r="M24" s="569"/>
      <c r="N24" s="569"/>
    </row>
    <row r="25" spans="1:14" s="567" customFormat="1" ht="14.25">
      <c r="A25" s="568">
        <v>20</v>
      </c>
      <c r="B25" s="569"/>
      <c r="C25" s="569"/>
      <c r="D25" s="569"/>
      <c r="E25" s="569"/>
      <c r="F25" s="569"/>
      <c r="G25" s="313"/>
      <c r="H25" s="313"/>
      <c r="I25" s="313"/>
      <c r="J25" s="313"/>
      <c r="K25" s="313"/>
      <c r="L25" s="313"/>
      <c r="M25" s="569"/>
      <c r="N25" s="569"/>
    </row>
    <row r="26" spans="1:14" s="567" customFormat="1" ht="14.25">
      <c r="A26" s="568">
        <v>21</v>
      </c>
      <c r="B26" s="569"/>
      <c r="C26" s="569"/>
      <c r="D26" s="569"/>
      <c r="E26" s="569"/>
      <c r="F26" s="569"/>
      <c r="G26" s="313"/>
      <c r="H26" s="313"/>
      <c r="I26" s="313"/>
      <c r="J26" s="313"/>
      <c r="K26" s="313"/>
      <c r="L26" s="313"/>
      <c r="M26" s="569"/>
      <c r="N26" s="569"/>
    </row>
    <row r="27" spans="1:14" ht="14.25">
      <c r="A27" s="945" t="s">
        <v>1070</v>
      </c>
      <c r="B27" s="946"/>
      <c r="C27" s="946"/>
      <c r="D27" s="946"/>
      <c r="E27" s="946"/>
      <c r="F27" s="947"/>
      <c r="G27" s="261">
        <f aca="true" t="shared" si="0" ref="G27:L27">SUM(G6:G26)</f>
        <v>0</v>
      </c>
      <c r="H27" s="261">
        <f t="shared" si="0"/>
        <v>0</v>
      </c>
      <c r="I27" s="261">
        <f t="shared" si="0"/>
        <v>0</v>
      </c>
      <c r="J27" s="261">
        <f t="shared" si="0"/>
        <v>0</v>
      </c>
      <c r="K27" s="261">
        <f t="shared" si="0"/>
        <v>0</v>
      </c>
      <c r="L27" s="261">
        <f t="shared" si="0"/>
        <v>0</v>
      </c>
      <c r="M27" s="260"/>
      <c r="N27" s="260"/>
    </row>
    <row r="28" spans="1:2" ht="14.25">
      <c r="A28" s="1" t="s">
        <v>1059</v>
      </c>
      <c r="B28" t="s">
        <v>1062</v>
      </c>
    </row>
    <row r="29" spans="1:2" ht="14.25">
      <c r="A29" s="1" t="s">
        <v>1060</v>
      </c>
      <c r="B29" t="s">
        <v>1061</v>
      </c>
    </row>
  </sheetData>
  <sheetProtection password="FABB" sheet="1" objects="1" scenarios="1" formatCells="0" formatColumns="0" formatRows="0" insertRows="0"/>
  <mergeCells count="9">
    <mergeCell ref="A27:F27"/>
    <mergeCell ref="A1:N1"/>
    <mergeCell ref="A3:J3"/>
    <mergeCell ref="M3:N3"/>
    <mergeCell ref="A4:A5"/>
    <mergeCell ref="B4:B5"/>
    <mergeCell ref="D4:D5"/>
    <mergeCell ref="A2:D2"/>
    <mergeCell ref="E2:N2"/>
  </mergeCells>
  <dataValidations count="1">
    <dataValidation type="decimal" operator="greaterThan" showErrorMessage="1" promptTitle="Numeric Input" prompt="Please enter numeric values or leave blank" errorTitle="Text Alert" error="Please do not enter text" sqref="G6:L26">
      <formula1>-1</formula1>
    </dataValidation>
  </dataValidations>
  <printOptions/>
  <pageMargins left="0.5118110236220472" right="0.5118110236220472" top="0.35433070866141736" bottom="0.35433070866141736" header="0.31496062992125984" footer="0.31496062992125984"/>
  <pageSetup orientation="landscape" paperSize="9" scale="62" r:id="rId1"/>
  <headerFooter>
    <oddFooter>&amp;C&amp;P&amp;RNote: Not to be quoted and not to be published without prior permission</oddFooter>
  </headerFooter>
</worksheet>
</file>

<file path=xl/worksheets/sheet9.xml><?xml version="1.0" encoding="utf-8"?>
<worksheet xmlns="http://schemas.openxmlformats.org/spreadsheetml/2006/main" xmlns:r="http://schemas.openxmlformats.org/officeDocument/2006/relationships">
  <dimension ref="A1:N33"/>
  <sheetViews>
    <sheetView zoomScalePageLayoutView="0" workbookViewId="0" topLeftCell="A21">
      <selection activeCell="C21" sqref="C21"/>
    </sheetView>
  </sheetViews>
  <sheetFormatPr defaultColWidth="9.140625" defaultRowHeight="15"/>
  <cols>
    <col min="2" max="2" width="35.28125" style="0" customWidth="1"/>
    <col min="3" max="3" width="25.7109375" style="0" customWidth="1"/>
    <col min="4" max="4" width="14.57421875" style="0" customWidth="1"/>
    <col min="5" max="5" width="12.28125" style="0" customWidth="1"/>
    <col min="6" max="6" width="12.7109375" style="0" customWidth="1"/>
    <col min="7" max="7" width="11.57421875" style="0" customWidth="1"/>
    <col min="8" max="8" width="12.7109375" style="0" customWidth="1"/>
    <col min="10" max="10" width="12.00390625" style="0" customWidth="1"/>
    <col min="11" max="11" width="11.7109375" style="0" customWidth="1"/>
    <col min="12" max="12" width="12.28125" style="0" customWidth="1"/>
    <col min="13" max="13" width="10.8515625" style="0" customWidth="1"/>
    <col min="14" max="14" width="12.421875" style="0" customWidth="1"/>
  </cols>
  <sheetData>
    <row r="1" spans="1:14" ht="23.25">
      <c r="A1" s="954" t="s">
        <v>1102</v>
      </c>
      <c r="B1" s="954"/>
      <c r="C1" s="954"/>
      <c r="D1" s="954"/>
      <c r="E1" s="954"/>
      <c r="F1" s="954"/>
      <c r="G1" s="954"/>
      <c r="H1" s="954"/>
      <c r="I1" s="954"/>
      <c r="J1" s="954"/>
      <c r="K1" s="954"/>
      <c r="L1" s="954"/>
      <c r="M1" s="954"/>
      <c r="N1" s="954"/>
    </row>
    <row r="2" spans="1:14" ht="18">
      <c r="A2" s="956" t="str">
        <f>'Summary Sheet'!A3:B3</f>
        <v>Name of the Unit</v>
      </c>
      <c r="B2" s="957"/>
      <c r="C2" s="960" t="str">
        <f>'Summary Sheet'!C3</f>
        <v>  </v>
      </c>
      <c r="D2" s="960"/>
      <c r="E2" s="960"/>
      <c r="F2" s="960"/>
      <c r="G2" s="960"/>
      <c r="H2" s="960"/>
      <c r="I2" s="960"/>
      <c r="J2" s="960"/>
      <c r="K2" s="960"/>
      <c r="L2" s="960"/>
      <c r="M2" s="960"/>
      <c r="N2" s="960"/>
    </row>
    <row r="3" spans="1:14" ht="14.25">
      <c r="A3" s="958" t="s">
        <v>839</v>
      </c>
      <c r="B3" s="958"/>
      <c r="C3" s="959" t="s">
        <v>698</v>
      </c>
      <c r="D3" s="959"/>
      <c r="E3" s="674" t="str">
        <f>'Form-Sb'!H524</f>
        <v>Yes</v>
      </c>
      <c r="F3" s="674" t="str">
        <f>'Form-Sb'!I524</f>
        <v>Yes</v>
      </c>
      <c r="G3" s="884"/>
      <c r="H3" s="884"/>
      <c r="I3" s="884"/>
      <c r="J3" s="884"/>
      <c r="K3" s="884"/>
      <c r="L3" s="884"/>
      <c r="M3" s="884"/>
      <c r="N3" s="884"/>
    </row>
    <row r="4" spans="1:14" ht="18">
      <c r="A4" s="967"/>
      <c r="B4" s="967"/>
      <c r="C4" s="418"/>
      <c r="D4" s="577"/>
      <c r="E4" s="968" t="s">
        <v>415</v>
      </c>
      <c r="F4" s="968"/>
      <c r="G4" s="961" t="s">
        <v>416</v>
      </c>
      <c r="H4" s="962"/>
      <c r="I4" s="963" t="s">
        <v>417</v>
      </c>
      <c r="J4" s="962"/>
      <c r="K4" s="963" t="s">
        <v>418</v>
      </c>
      <c r="L4" s="962"/>
      <c r="M4" s="963" t="s">
        <v>422</v>
      </c>
      <c r="N4" s="962"/>
    </row>
    <row r="5" spans="1:14" ht="57">
      <c r="A5" s="578" t="s">
        <v>372</v>
      </c>
      <c r="B5" s="579" t="s">
        <v>392</v>
      </c>
      <c r="C5" s="579" t="s">
        <v>393</v>
      </c>
      <c r="D5" s="579" t="s">
        <v>394</v>
      </c>
      <c r="E5" s="603" t="str">
        <f>'Base line Parameters'!E5</f>
        <v>Baseline Year (Average of year1 to Year 3)</v>
      </c>
      <c r="F5" s="603" t="str">
        <f>'Base line Parameters'!F5</f>
        <v>Current/Assessment /Target Year    (20__-20__)</v>
      </c>
      <c r="G5" s="472" t="s">
        <v>421</v>
      </c>
      <c r="H5" s="603" t="str">
        <f>F5</f>
        <v>Current/Assessment /Target Year    (20__-20__)</v>
      </c>
      <c r="I5" s="472" t="s">
        <v>421</v>
      </c>
      <c r="J5" s="603" t="str">
        <f>F5</f>
        <v>Current/Assessment /Target Year    (20__-20__)</v>
      </c>
      <c r="K5" s="472" t="s">
        <v>421</v>
      </c>
      <c r="L5" s="603" t="str">
        <f>F5</f>
        <v>Current/Assessment /Target Year    (20__-20__)</v>
      </c>
      <c r="M5" s="472" t="s">
        <v>421</v>
      </c>
      <c r="N5" s="603" t="str">
        <f>F5</f>
        <v>Current/Assessment /Target Year    (20__-20__)</v>
      </c>
    </row>
    <row r="6" spans="1:14" ht="14.25">
      <c r="A6" s="92">
        <v>1</v>
      </c>
      <c r="B6" s="580" t="s">
        <v>395</v>
      </c>
      <c r="C6" s="580" t="s">
        <v>1496</v>
      </c>
      <c r="D6" s="580" t="s">
        <v>396</v>
      </c>
      <c r="E6" s="370">
        <f>'Form-Sb'!H31</f>
        <v>0</v>
      </c>
      <c r="F6" s="370">
        <f>'Form-Sb'!I31</f>
        <v>0</v>
      </c>
      <c r="G6" s="370">
        <f>'Form-Sb'!H43</f>
        <v>0</v>
      </c>
      <c r="H6" s="370">
        <f>'Form-Sb'!I43</f>
        <v>0</v>
      </c>
      <c r="I6" s="370">
        <f>'Form-Sb'!H55</f>
        <v>0</v>
      </c>
      <c r="J6" s="370">
        <f>'Form-Sb'!I55</f>
        <v>0</v>
      </c>
      <c r="K6" s="370">
        <f>'Form-Sb'!H67</f>
        <v>0</v>
      </c>
      <c r="L6" s="370">
        <f>'Form-Sb'!I67</f>
        <v>0</v>
      </c>
      <c r="M6" s="370">
        <f>'Form-Sb'!H79</f>
        <v>0</v>
      </c>
      <c r="N6" s="370">
        <f>'Form-Sb'!I79</f>
        <v>0</v>
      </c>
    </row>
    <row r="7" spans="1:14" ht="14.25">
      <c r="A7" s="92">
        <v>2</v>
      </c>
      <c r="B7" s="580" t="s">
        <v>397</v>
      </c>
      <c r="C7" s="580" t="s">
        <v>1486</v>
      </c>
      <c r="D7" s="580" t="s">
        <v>242</v>
      </c>
      <c r="E7" s="370">
        <f>'Base line Parameters'!$E$56</f>
        <v>0</v>
      </c>
      <c r="F7" s="370">
        <f>'Base line Parameters'!$F$56</f>
        <v>0</v>
      </c>
      <c r="G7" s="370">
        <f>'Base line Parameters'!$E$56</f>
        <v>0</v>
      </c>
      <c r="H7" s="370">
        <f>'Base line Parameters'!$F$56</f>
        <v>0</v>
      </c>
      <c r="I7" s="370">
        <f>'Base line Parameters'!$E$56</f>
        <v>0</v>
      </c>
      <c r="J7" s="370">
        <f>'Base line Parameters'!$F$56</f>
        <v>0</v>
      </c>
      <c r="K7" s="370">
        <f>'Base line Parameters'!$E$56</f>
        <v>0</v>
      </c>
      <c r="L7" s="370">
        <f>'Base line Parameters'!$F$56</f>
        <v>0</v>
      </c>
      <c r="M7" s="370">
        <f>'Base line Parameters'!$E$56</f>
        <v>0</v>
      </c>
      <c r="N7" s="370">
        <f>'Base line Parameters'!$F$56</f>
        <v>0</v>
      </c>
    </row>
    <row r="8" spans="1:14" ht="14.25">
      <c r="A8" s="92">
        <v>3</v>
      </c>
      <c r="B8" s="580" t="s">
        <v>398</v>
      </c>
      <c r="C8" s="580" t="s">
        <v>1497</v>
      </c>
      <c r="D8" s="580" t="s">
        <v>161</v>
      </c>
      <c r="E8" s="370">
        <f>'Form-Sb'!H34</f>
        <v>0</v>
      </c>
      <c r="F8" s="370">
        <f>'Form-Sb'!I34</f>
        <v>0</v>
      </c>
      <c r="G8" s="370">
        <f>'Form-Sb'!H46</f>
        <v>0</v>
      </c>
      <c r="H8" s="370">
        <f>'Form-Sb'!I46</f>
        <v>0</v>
      </c>
      <c r="I8" s="370">
        <f>'Form-Sb'!H58</f>
        <v>0</v>
      </c>
      <c r="J8" s="370">
        <f>'Form-Sb'!I58</f>
        <v>0</v>
      </c>
      <c r="K8" s="370">
        <f>'Form-Sb'!H70</f>
        <v>0</v>
      </c>
      <c r="L8" s="370">
        <f>'Form-Sb'!I70</f>
        <v>0</v>
      </c>
      <c r="M8" s="370">
        <f>'Form-Sb'!H82</f>
        <v>0</v>
      </c>
      <c r="N8" s="370">
        <f>'Form-Sb'!I82</f>
        <v>0</v>
      </c>
    </row>
    <row r="9" spans="1:14" ht="14.25">
      <c r="A9" s="92">
        <v>4</v>
      </c>
      <c r="B9" s="580" t="s">
        <v>1078</v>
      </c>
      <c r="C9" s="580" t="s">
        <v>696</v>
      </c>
      <c r="D9" s="580" t="s">
        <v>399</v>
      </c>
      <c r="E9" s="370">
        <f>IF(E8=0,0,E6/(E8))</f>
        <v>0</v>
      </c>
      <c r="F9" s="370">
        <f aca="true" t="shared" si="0" ref="F9:N9">IF(F8=0,0,F6/(F8))</f>
        <v>0</v>
      </c>
      <c r="G9" s="370">
        <f t="shared" si="0"/>
        <v>0</v>
      </c>
      <c r="H9" s="370">
        <f t="shared" si="0"/>
        <v>0</v>
      </c>
      <c r="I9" s="370">
        <f t="shared" si="0"/>
        <v>0</v>
      </c>
      <c r="J9" s="370">
        <f t="shared" si="0"/>
        <v>0</v>
      </c>
      <c r="K9" s="370">
        <f t="shared" si="0"/>
        <v>0</v>
      </c>
      <c r="L9" s="370">
        <f t="shared" si="0"/>
        <v>0</v>
      </c>
      <c r="M9" s="370">
        <f t="shared" si="0"/>
        <v>0</v>
      </c>
      <c r="N9" s="370">
        <f t="shared" si="0"/>
        <v>0</v>
      </c>
    </row>
    <row r="10" spans="1:14" ht="28.5">
      <c r="A10" s="92">
        <v>5</v>
      </c>
      <c r="B10" s="441" t="s">
        <v>714</v>
      </c>
      <c r="C10" s="580" t="s">
        <v>1498</v>
      </c>
      <c r="D10" s="580" t="s">
        <v>706</v>
      </c>
      <c r="E10" s="370">
        <f>'Form-Sb'!H40</f>
        <v>0</v>
      </c>
      <c r="F10" s="370">
        <f>'Form-Sb'!I40</f>
        <v>0</v>
      </c>
      <c r="G10" s="581">
        <f>'Form-Sb'!H52</f>
        <v>0</v>
      </c>
      <c r="H10" s="581">
        <f>'Form-Sb'!I52</f>
        <v>0</v>
      </c>
      <c r="I10" s="581">
        <f>'Form-Sb'!H64</f>
        <v>0</v>
      </c>
      <c r="J10" s="581">
        <f>'Form-Sb'!I64</f>
        <v>0</v>
      </c>
      <c r="K10" s="581">
        <f>'Form-Sb'!H76</f>
        <v>0</v>
      </c>
      <c r="L10" s="581">
        <f>'Form-Sb'!I76</f>
        <v>0</v>
      </c>
      <c r="M10" s="581">
        <f>'Form-Sb'!H88</f>
        <v>0</v>
      </c>
      <c r="N10" s="581">
        <f>'Form-Sb'!I88</f>
        <v>0</v>
      </c>
    </row>
    <row r="11" spans="1:14" ht="28.5">
      <c r="A11" s="92">
        <v>6</v>
      </c>
      <c r="B11" s="582" t="s">
        <v>830</v>
      </c>
      <c r="C11" s="580" t="s">
        <v>1499</v>
      </c>
      <c r="D11" s="583" t="s">
        <v>1084</v>
      </c>
      <c r="E11" s="584">
        <f>'Form-Sb'!H41</f>
        <v>0</v>
      </c>
      <c r="F11" s="584">
        <f>'Form-Sb'!I41</f>
        <v>0</v>
      </c>
      <c r="G11" s="581">
        <f>'Form-Sb'!H53</f>
        <v>0</v>
      </c>
      <c r="H11" s="581">
        <f>'Form-Sb'!I53</f>
        <v>0</v>
      </c>
      <c r="I11" s="581">
        <f>'Form-Sb'!H65</f>
        <v>0</v>
      </c>
      <c r="J11" s="581">
        <f>'Form-Sb'!I65</f>
        <v>0</v>
      </c>
      <c r="K11" s="581">
        <f>'Form-Sb'!H77</f>
        <v>0</v>
      </c>
      <c r="L11" s="581">
        <f>'Form-Sb'!I77</f>
        <v>0</v>
      </c>
      <c r="M11" s="581">
        <f>'Form-Sb'!H89</f>
        <v>0</v>
      </c>
      <c r="N11" s="581">
        <f>'Form-Sb'!I89</f>
        <v>0</v>
      </c>
    </row>
    <row r="12" spans="1:14" ht="28.5">
      <c r="A12" s="92">
        <v>7</v>
      </c>
      <c r="B12" s="582" t="s">
        <v>829</v>
      </c>
      <c r="C12" s="580" t="s">
        <v>1500</v>
      </c>
      <c r="D12" s="583" t="s">
        <v>1084</v>
      </c>
      <c r="E12" s="584">
        <f>'Form-Sb'!H38</f>
        <v>0</v>
      </c>
      <c r="F12" s="584">
        <f>'Form-Sb'!I38</f>
        <v>0</v>
      </c>
      <c r="G12" s="370">
        <f>'Form-Sb'!H50</f>
        <v>0</v>
      </c>
      <c r="H12" s="370">
        <f>'Form-Sb'!I50</f>
        <v>0</v>
      </c>
      <c r="I12" s="370">
        <f>'Form-Sb'!H62</f>
        <v>0</v>
      </c>
      <c r="J12" s="370">
        <f>'Form-Sb'!I62</f>
        <v>0</v>
      </c>
      <c r="K12" s="370">
        <f>'Form-Sb'!H74</f>
        <v>0</v>
      </c>
      <c r="L12" s="370">
        <f>'Form-Sb'!I74</f>
        <v>0</v>
      </c>
      <c r="M12" s="370">
        <f>'Form-Sb'!H86</f>
        <v>0</v>
      </c>
      <c r="N12" s="370">
        <f>'Form-Sb'!I86</f>
        <v>0</v>
      </c>
    </row>
    <row r="13" spans="1:14" ht="14.25">
      <c r="A13" s="884" t="s">
        <v>831</v>
      </c>
      <c r="B13" s="884"/>
      <c r="C13" s="884"/>
      <c r="D13" s="884"/>
      <c r="E13" s="884"/>
      <c r="F13" s="884"/>
      <c r="G13" s="884"/>
      <c r="H13" s="884"/>
      <c r="I13" s="884"/>
      <c r="J13" s="884"/>
      <c r="K13" s="884"/>
      <c r="L13" s="884"/>
      <c r="M13" s="884"/>
      <c r="N13" s="884"/>
    </row>
    <row r="14" spans="1:14" ht="42.75">
      <c r="A14" s="92">
        <v>9</v>
      </c>
      <c r="B14" s="580" t="s">
        <v>1079</v>
      </c>
      <c r="C14" s="585" t="s">
        <v>400</v>
      </c>
      <c r="D14" s="580" t="s">
        <v>401</v>
      </c>
      <c r="E14" s="370">
        <f>'Form-Sb'!H32</f>
        <v>0</v>
      </c>
      <c r="F14" s="370">
        <f>IF(F9&lt;E9,E14+0.4673*(E9-F9),E14)</f>
        <v>0</v>
      </c>
      <c r="G14" s="370">
        <f>'Form-Sb'!H44</f>
        <v>0</v>
      </c>
      <c r="H14" s="370">
        <f>IF(H9&lt;G9,G14+0.4673*(G9-H9),G14)</f>
        <v>0</v>
      </c>
      <c r="I14" s="370">
        <f>'Form-Sb'!H56</f>
        <v>0</v>
      </c>
      <c r="J14" s="370">
        <f>IF(J9&lt;I9,I14+0.4673*(I9-J9),I14)</f>
        <v>0</v>
      </c>
      <c r="K14" s="370">
        <f>'Form-Sb'!H68</f>
        <v>0</v>
      </c>
      <c r="L14" s="370">
        <f>IF(L9&lt;K9,K14+0.4673*(K9-L9),K14)</f>
        <v>0</v>
      </c>
      <c r="M14" s="370">
        <f>'Form-Sb'!H80</f>
        <v>0</v>
      </c>
      <c r="N14" s="370">
        <f>IF(N9&lt;M9,M14+0.4673*(M9-N9),M14)</f>
        <v>0</v>
      </c>
    </row>
    <row r="15" spans="1:14" ht="28.5">
      <c r="A15" s="92">
        <v>10</v>
      </c>
      <c r="B15" s="580" t="s">
        <v>402</v>
      </c>
      <c r="C15" s="441" t="s">
        <v>403</v>
      </c>
      <c r="D15" s="580" t="s">
        <v>401</v>
      </c>
      <c r="E15" s="370"/>
      <c r="F15" s="370">
        <f>F14-E14</f>
        <v>0</v>
      </c>
      <c r="G15" s="370"/>
      <c r="H15" s="370">
        <f>H14-G14</f>
        <v>0</v>
      </c>
      <c r="I15" s="370"/>
      <c r="J15" s="370">
        <f>J14-I14</f>
        <v>0</v>
      </c>
      <c r="K15" s="370"/>
      <c r="L15" s="370">
        <f>L14-K14</f>
        <v>0</v>
      </c>
      <c r="M15" s="370"/>
      <c r="N15" s="370">
        <f>N14-M14</f>
        <v>0</v>
      </c>
    </row>
    <row r="16" spans="1:14" ht="42.75">
      <c r="A16" s="473">
        <v>11</v>
      </c>
      <c r="B16" s="586" t="s">
        <v>716</v>
      </c>
      <c r="C16" s="587" t="s">
        <v>715</v>
      </c>
      <c r="D16" s="579" t="s">
        <v>234</v>
      </c>
      <c r="E16" s="588"/>
      <c r="F16" s="588">
        <f>(0.1829*F9+197.41)*(F10-E10)</f>
        <v>0</v>
      </c>
      <c r="G16" s="588"/>
      <c r="H16" s="588">
        <f>(0.1829*H9+197.41)*(H10-G10)</f>
        <v>0</v>
      </c>
      <c r="I16" s="588"/>
      <c r="J16" s="588">
        <f>(0.1829*J9+197.41)*(J10-I10)</f>
        <v>0</v>
      </c>
      <c r="K16" s="588"/>
      <c r="L16" s="588">
        <f>(0.1829*L9+197.41)*(L10-K10)</f>
        <v>0</v>
      </c>
      <c r="M16" s="588"/>
      <c r="N16" s="588">
        <f>(0.1829*N9+197.41)*(N10-M10)</f>
        <v>0</v>
      </c>
    </row>
    <row r="17" spans="1:14" ht="28.5">
      <c r="A17" s="578">
        <v>12</v>
      </c>
      <c r="B17" s="586" t="s">
        <v>404</v>
      </c>
      <c r="C17" s="579" t="s">
        <v>1501</v>
      </c>
      <c r="D17" s="579" t="s">
        <v>234</v>
      </c>
      <c r="E17" s="589"/>
      <c r="F17" s="589">
        <f>F6*F15/1000</f>
        <v>0</v>
      </c>
      <c r="G17" s="589"/>
      <c r="H17" s="589">
        <f>H6*H15/1000</f>
        <v>0</v>
      </c>
      <c r="I17" s="589"/>
      <c r="J17" s="589">
        <f>J6*J15/1000</f>
        <v>0</v>
      </c>
      <c r="K17" s="589"/>
      <c r="L17" s="589">
        <f>L6*L15/1000</f>
        <v>0</v>
      </c>
      <c r="M17" s="589"/>
      <c r="N17" s="589">
        <f>N6*N15/1000</f>
        <v>0</v>
      </c>
    </row>
    <row r="18" spans="1:14" ht="14.25">
      <c r="A18" s="92"/>
      <c r="B18" s="36"/>
      <c r="C18" s="36"/>
      <c r="D18" s="36"/>
      <c r="E18" s="36"/>
      <c r="F18" s="36"/>
      <c r="G18" s="36"/>
      <c r="H18" s="36"/>
      <c r="I18" s="36"/>
      <c r="J18" s="36"/>
      <c r="K18" s="36"/>
      <c r="L18" s="36"/>
      <c r="M18" s="36"/>
      <c r="N18" s="36"/>
    </row>
    <row r="19" spans="1:14" ht="14.25">
      <c r="A19" s="884" t="s">
        <v>832</v>
      </c>
      <c r="B19" s="884"/>
      <c r="C19" s="884"/>
      <c r="D19" s="884"/>
      <c r="E19" s="884"/>
      <c r="F19" s="884"/>
      <c r="G19" s="884"/>
      <c r="H19" s="884"/>
      <c r="I19" s="884"/>
      <c r="J19" s="884"/>
      <c r="K19" s="884"/>
      <c r="L19" s="884"/>
      <c r="M19" s="884"/>
      <c r="N19" s="884"/>
    </row>
    <row r="20" spans="1:14" ht="42.75">
      <c r="A20" s="92">
        <v>13</v>
      </c>
      <c r="B20" s="36" t="s">
        <v>405</v>
      </c>
      <c r="C20" s="89" t="s">
        <v>406</v>
      </c>
      <c r="D20" s="36" t="s">
        <v>407</v>
      </c>
      <c r="E20" s="370">
        <f>'Form-Sb'!H33</f>
        <v>0</v>
      </c>
      <c r="F20" s="370">
        <f>IF(F9&lt;E9,E20+0.0943*(E9-F9),E20)</f>
        <v>0</v>
      </c>
      <c r="G20" s="370">
        <f>'Form-Sb'!H45</f>
        <v>0</v>
      </c>
      <c r="H20" s="370">
        <f>IF(H9&lt;G9,G20+0.0943*(G9-H9),G20)</f>
        <v>0</v>
      </c>
      <c r="I20" s="370">
        <f>'Form-Sb'!H57</f>
        <v>0</v>
      </c>
      <c r="J20" s="370">
        <f>IF(J9&lt;I9,I20+0.0943*(I9-J9),I20)</f>
        <v>0</v>
      </c>
      <c r="K20" s="370">
        <f>'Form-Sb'!H69</f>
        <v>0</v>
      </c>
      <c r="L20" s="370">
        <f>IF(L9&lt;K9,K20+0.0943*(K9-L9),K20)</f>
        <v>0</v>
      </c>
      <c r="M20" s="370">
        <f>'Form-Sb'!H81</f>
        <v>0</v>
      </c>
      <c r="N20" s="370">
        <f>IF(N9&lt;M9,M20+0.0943*(M9-N9),M20)</f>
        <v>0</v>
      </c>
    </row>
    <row r="21" spans="1:14" ht="28.5">
      <c r="A21" s="92">
        <v>14</v>
      </c>
      <c r="B21" s="36" t="s">
        <v>408</v>
      </c>
      <c r="C21" s="89" t="s">
        <v>409</v>
      </c>
      <c r="D21" s="36" t="s">
        <v>407</v>
      </c>
      <c r="E21" s="590"/>
      <c r="F21" s="370">
        <f>F20-E20</f>
        <v>0</v>
      </c>
      <c r="G21" s="591"/>
      <c r="H21" s="370">
        <f>H20-G20</f>
        <v>0</v>
      </c>
      <c r="I21" s="591"/>
      <c r="J21" s="370">
        <f>J20-I20</f>
        <v>0</v>
      </c>
      <c r="K21" s="591"/>
      <c r="L21" s="370">
        <f>L20-K20</f>
        <v>0</v>
      </c>
      <c r="M21" s="591"/>
      <c r="N21" s="370">
        <f>N20-M20</f>
        <v>0</v>
      </c>
    </row>
    <row r="22" spans="1:14" ht="42.75">
      <c r="A22" s="578">
        <v>15</v>
      </c>
      <c r="B22" s="586" t="s">
        <v>1085</v>
      </c>
      <c r="C22" s="592" t="s">
        <v>834</v>
      </c>
      <c r="D22" s="579" t="s">
        <v>234</v>
      </c>
      <c r="E22" s="593"/>
      <c r="F22" s="589">
        <f>F6*F21*F7/10^6</f>
        <v>0</v>
      </c>
      <c r="G22" s="594"/>
      <c r="H22" s="589">
        <f>H6*H21*H7/10^6</f>
        <v>0</v>
      </c>
      <c r="I22" s="594"/>
      <c r="J22" s="589">
        <f>J6*J21*J7/10^6</f>
        <v>0</v>
      </c>
      <c r="K22" s="594"/>
      <c r="L22" s="589">
        <f>L6*L21*L7/10^6</f>
        <v>0</v>
      </c>
      <c r="M22" s="594"/>
      <c r="N22" s="589">
        <f>N6*N21*N7/10^6</f>
        <v>0</v>
      </c>
    </row>
    <row r="23" spans="1:14" ht="57">
      <c r="A23" s="578">
        <v>16</v>
      </c>
      <c r="B23" s="586" t="s">
        <v>833</v>
      </c>
      <c r="C23" s="471" t="s">
        <v>1125</v>
      </c>
      <c r="D23" s="579" t="s">
        <v>234</v>
      </c>
      <c r="E23" s="593"/>
      <c r="F23" s="589">
        <f>IF(F11&gt;E11,(F11-E11)*F7/10,(F11-E11)*E7/10)</f>
        <v>0</v>
      </c>
      <c r="G23" s="594"/>
      <c r="H23" s="589">
        <f>IF(H11&gt;G11,(H11-G11)*H7/10,(H11-G11)*G7/10)</f>
        <v>0</v>
      </c>
      <c r="I23" s="594"/>
      <c r="J23" s="589">
        <f>IF(J11&gt;I11,(J11-I11)*J7/10,(J11-I11)*I7/10)</f>
        <v>0</v>
      </c>
      <c r="K23" s="594"/>
      <c r="L23" s="589">
        <f>IF(L11&gt;K11,(L11-K11)*L7/10,(L11-K11)*K7/10)</f>
        <v>0</v>
      </c>
      <c r="M23" s="594"/>
      <c r="N23" s="589">
        <f>IF(N11&gt;M11,(N11-M11)*N7/10,(N11-M11)*M7/10)</f>
        <v>0</v>
      </c>
    </row>
    <row r="24" spans="1:14" ht="57">
      <c r="A24" s="578">
        <v>17</v>
      </c>
      <c r="B24" s="586" t="s">
        <v>791</v>
      </c>
      <c r="C24" s="471" t="s">
        <v>1126</v>
      </c>
      <c r="D24" s="579" t="s">
        <v>234</v>
      </c>
      <c r="E24" s="593"/>
      <c r="F24" s="589">
        <f>IF(F12&gt;E12,(F12-E12)*F7/10,(F12-E12)*E7/10)</f>
        <v>0</v>
      </c>
      <c r="G24" s="594"/>
      <c r="H24" s="589">
        <f>IF(H12&gt;G12,(H12-G12)*H7/10,(H12-G12)*G7/10)</f>
        <v>0</v>
      </c>
      <c r="I24" s="594"/>
      <c r="J24" s="589">
        <f>IF(J12&gt;I12,(J12-I12)*J7/10,(J12-I12)*I7/10)</f>
        <v>0</v>
      </c>
      <c r="K24" s="594"/>
      <c r="L24" s="589">
        <f>IF(L12&gt;K12,(L12-K12)*L7/10,(L12-K12)*K7/10)</f>
        <v>0</v>
      </c>
      <c r="M24" s="594"/>
      <c r="N24" s="589">
        <f>IF(N12&gt;M12,(N12-M12)*N7/10,(N12-M12)*M7/10)</f>
        <v>0</v>
      </c>
    </row>
    <row r="25" spans="1:14" ht="42.75">
      <c r="A25" s="578">
        <v>18</v>
      </c>
      <c r="B25" s="586" t="s">
        <v>410</v>
      </c>
      <c r="C25" s="592" t="s">
        <v>836</v>
      </c>
      <c r="D25" s="579" t="s">
        <v>234</v>
      </c>
      <c r="E25" s="593"/>
      <c r="F25" s="589">
        <f>F16+F17+F22+F23+F24</f>
        <v>0</v>
      </c>
      <c r="G25" s="594"/>
      <c r="H25" s="589">
        <f>H16+H17+H22+H23+H24</f>
        <v>0</v>
      </c>
      <c r="I25" s="594"/>
      <c r="J25" s="589">
        <f>J16+J17+J22+J23+J24</f>
        <v>0</v>
      </c>
      <c r="K25" s="594"/>
      <c r="L25" s="589">
        <f>L16+L17+L22+L23+L24</f>
        <v>0</v>
      </c>
      <c r="M25" s="594"/>
      <c r="N25" s="589">
        <f>N16+N17+N22+N23+N24</f>
        <v>0</v>
      </c>
    </row>
    <row r="26" spans="1:14" ht="42.75">
      <c r="A26" s="578">
        <v>19</v>
      </c>
      <c r="B26" s="586" t="s">
        <v>423</v>
      </c>
      <c r="C26" s="471" t="s">
        <v>837</v>
      </c>
      <c r="D26" s="579" t="s">
        <v>234</v>
      </c>
      <c r="E26" s="595">
        <f>IF(AND(E3="yes",F3="Yes"),F25+H25+J25+L25+N25,0)</f>
        <v>0</v>
      </c>
      <c r="F26" s="596"/>
      <c r="G26" s="596"/>
      <c r="H26" s="596"/>
      <c r="I26" s="596"/>
      <c r="J26" s="596"/>
      <c r="K26" s="596"/>
      <c r="L26" s="596"/>
      <c r="M26" s="596"/>
      <c r="N26" s="597"/>
    </row>
    <row r="27" spans="1:14" ht="14.25">
      <c r="A27" s="74" t="s">
        <v>411</v>
      </c>
      <c r="B27" s="34"/>
      <c r="C27" s="34"/>
      <c r="D27" s="34"/>
      <c r="E27" s="34"/>
      <c r="F27" s="34"/>
      <c r="G27" s="34"/>
      <c r="H27" s="34"/>
      <c r="I27" s="34"/>
      <c r="J27" s="34"/>
      <c r="K27" s="34"/>
      <c r="L27" s="34"/>
      <c r="M27" s="34"/>
      <c r="N27" s="34"/>
    </row>
    <row r="28" spans="1:14" ht="14.25">
      <c r="A28" s="598">
        <v>1</v>
      </c>
      <c r="B28" s="965" t="s">
        <v>412</v>
      </c>
      <c r="C28" s="965"/>
      <c r="D28" s="965"/>
      <c r="E28" s="599"/>
      <c r="F28" s="599"/>
      <c r="G28" s="599"/>
      <c r="H28" s="599"/>
      <c r="I28" s="599"/>
      <c r="J28" s="599"/>
      <c r="K28" s="599"/>
      <c r="L28" s="599"/>
      <c r="M28" s="599"/>
      <c r="N28" s="599"/>
    </row>
    <row r="29" spans="1:14" ht="14.25">
      <c r="A29" s="598">
        <v>2</v>
      </c>
      <c r="B29" s="955" t="s">
        <v>413</v>
      </c>
      <c r="C29" s="955"/>
      <c r="D29" s="955"/>
      <c r="E29" s="599"/>
      <c r="F29" s="599"/>
      <c r="G29" s="599"/>
      <c r="H29" s="599"/>
      <c r="I29" s="599"/>
      <c r="J29" s="599"/>
      <c r="K29" s="599"/>
      <c r="L29" s="599"/>
      <c r="M29" s="599"/>
      <c r="N29" s="599"/>
    </row>
    <row r="30" spans="1:14" ht="14.25">
      <c r="A30" s="598">
        <v>3</v>
      </c>
      <c r="B30" s="955" t="s">
        <v>414</v>
      </c>
      <c r="C30" s="955"/>
      <c r="D30" s="955"/>
      <c r="E30" s="599"/>
      <c r="F30" s="599"/>
      <c r="G30" s="599"/>
      <c r="H30" s="599"/>
      <c r="I30" s="599"/>
      <c r="J30" s="599"/>
      <c r="K30" s="599"/>
      <c r="L30" s="599"/>
      <c r="M30" s="599"/>
      <c r="N30" s="599"/>
    </row>
    <row r="31" spans="1:14" ht="14.25">
      <c r="A31" s="598">
        <v>4</v>
      </c>
      <c r="B31" s="966" t="s">
        <v>1371</v>
      </c>
      <c r="C31" s="966"/>
      <c r="D31" s="966"/>
      <c r="E31" s="599"/>
      <c r="F31" s="599"/>
      <c r="G31" s="599"/>
      <c r="H31" s="599"/>
      <c r="I31" s="599"/>
      <c r="J31" s="599"/>
      <c r="K31" s="599"/>
      <c r="L31" s="599"/>
      <c r="M31" s="599"/>
      <c r="N31" s="599"/>
    </row>
    <row r="32" spans="1:14" ht="14.25">
      <c r="A32" s="598">
        <v>5</v>
      </c>
      <c r="B32" s="955" t="s">
        <v>694</v>
      </c>
      <c r="C32" s="955"/>
      <c r="D32" s="955"/>
      <c r="E32" s="599"/>
      <c r="F32" s="599"/>
      <c r="G32" s="599"/>
      <c r="H32" s="599"/>
      <c r="I32" s="599"/>
      <c r="J32" s="599"/>
      <c r="K32" s="599"/>
      <c r="L32" s="599"/>
      <c r="M32" s="599"/>
      <c r="N32" s="599"/>
    </row>
    <row r="33" spans="1:14" ht="29.25" customHeight="1">
      <c r="A33" s="600" t="s">
        <v>1080</v>
      </c>
      <c r="B33" s="964" t="s">
        <v>1098</v>
      </c>
      <c r="C33" s="964"/>
      <c r="D33" s="964"/>
      <c r="E33" s="601"/>
      <c r="F33" s="601"/>
      <c r="G33" s="601"/>
      <c r="H33" s="601"/>
      <c r="I33" s="601"/>
      <c r="J33" s="601"/>
      <c r="K33" s="601"/>
      <c r="L33" s="601"/>
      <c r="M33" s="601"/>
      <c r="N33" s="601"/>
    </row>
  </sheetData>
  <sheetProtection password="FABB" sheet="1"/>
  <mergeCells count="20">
    <mergeCell ref="B32:D32"/>
    <mergeCell ref="G4:H4"/>
    <mergeCell ref="I4:J4"/>
    <mergeCell ref="K4:L4"/>
    <mergeCell ref="M4:N4"/>
    <mergeCell ref="B33:D33"/>
    <mergeCell ref="B28:D28"/>
    <mergeCell ref="B31:D31"/>
    <mergeCell ref="A4:B4"/>
    <mergeCell ref="E4:F4"/>
    <mergeCell ref="G3:N3"/>
    <mergeCell ref="A13:N13"/>
    <mergeCell ref="A19:N19"/>
    <mergeCell ref="A1:N1"/>
    <mergeCell ref="B29:D29"/>
    <mergeCell ref="B30:D30"/>
    <mergeCell ref="A2:B2"/>
    <mergeCell ref="A3:B3"/>
    <mergeCell ref="C3:D3"/>
    <mergeCell ref="C2:N2"/>
  </mergeCells>
  <printOptions/>
  <pageMargins left="0.31496062992125984" right="0.11811023622047245" top="0" bottom="0" header="0.31496062992125984" footer="0.31496062992125984"/>
  <pageSetup orientation="landscape" paperSize="9" scale="65" r:id="rId1"/>
  <headerFooter>
    <oddFooter>&amp;C&amp;P&amp;RNote: Not to be quoted and not to be published without prior permission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VIKASH RANJAN</dc:creator>
  <cp:keywords/>
  <dc:description/>
  <cp:lastModifiedBy>VIKAS_GIZ</cp:lastModifiedBy>
  <cp:lastPrinted>2014-08-27T09:22:57Z</cp:lastPrinted>
  <dcterms:created xsi:type="dcterms:W3CDTF">2010-08-05T04:12:30Z</dcterms:created>
  <dcterms:modified xsi:type="dcterms:W3CDTF">2015-09-15T07:48:09Z</dcterms:modified>
  <cp:category/>
  <cp:version/>
  <cp:contentType/>
  <cp:contentStatus/>
</cp:coreProperties>
</file>